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30" windowWidth="18975" windowHeight="12120"/>
  </bookViews>
  <sheets>
    <sheet name="Title Page" sheetId="8" r:id="rId1"/>
    <sheet name="Inputs" sheetId="1" r:id="rId2"/>
    <sheet name="Flock" sheetId="2" r:id="rId3"/>
    <sheet name="Rams" sheetId="6" r:id="rId4"/>
    <sheet name="Replacement" sheetId="7" r:id="rId5"/>
    <sheet name="Finish Lambs" sheetId="3" r:id="rId6"/>
    <sheet name="Farm Flock to Finish" sheetId="4" r:id="rId7"/>
  </sheets>
  <definedNames>
    <definedName name="Depreciable">Inputs!$B$63:$H$71</definedName>
    <definedName name="Feed">Inputs!$B$32:$G$41</definedName>
    <definedName name="FinishFeed">'Finish Lambs'!$B$17:$E$22</definedName>
    <definedName name="FinishNonFeed">'Finish Lambs'!$B$26:$H$34</definedName>
    <definedName name="FlockFeed">Flock!$B$19:$E$25</definedName>
    <definedName name="FlockNonFeed">Flock!$B$30:$H$40</definedName>
    <definedName name="NonFeed">Inputs!$B$45:$F$59</definedName>
    <definedName name="Overhead">Inputs!$B$78:$G$83</definedName>
    <definedName name="_xlnm.Print_Area" localSheetId="6">'Farm Flock to Finish'!$B$1:$H$80</definedName>
    <definedName name="_xlnm.Print_Area" localSheetId="5">'Finish Lambs'!$B$1:$I$60</definedName>
    <definedName name="_xlnm.Print_Area" localSheetId="2">Flock!$B$1:$J$65</definedName>
    <definedName name="_xlnm.Print_Area" localSheetId="1">Inputs!$B$1:$H$83</definedName>
    <definedName name="_xlnm.Print_Area" localSheetId="3">Rams!$B$1:$H$35</definedName>
    <definedName name="_xlnm.Print_Area" localSheetId="4">Replacement!$B$1:$H$12</definedName>
    <definedName name="_xlnm.Print_Area" localSheetId="0">'Title Page'!$A$1:$P$44</definedName>
    <definedName name="RamsFeed">Rams!$B$15:$E$21</definedName>
    <definedName name="RamsNonFeed" localSheetId="4">Replacement!#REF!</definedName>
    <definedName name="RamsNonFeed">Rams!$B$25:$H$31</definedName>
    <definedName name="ReplacementFeed">Replacement!$B$5:$E$11</definedName>
  </definedNames>
  <calcPr calcId="125725" iterate="1" iterateCount="1000"/>
</workbook>
</file>

<file path=xl/calcChain.xml><?xml version="1.0" encoding="utf-8"?>
<calcChain xmlns="http://schemas.openxmlformats.org/spreadsheetml/2006/main">
  <c r="C21" i="2"/>
  <c r="C20"/>
  <c r="C19"/>
  <c r="D1" i="7"/>
  <c r="R13"/>
  <c r="R12"/>
  <c r="R11"/>
  <c r="P11"/>
  <c r="O11"/>
  <c r="N11"/>
  <c r="F11"/>
  <c r="D11"/>
  <c r="R10"/>
  <c r="P10"/>
  <c r="F10"/>
  <c r="D10"/>
  <c r="R9"/>
  <c r="P9"/>
  <c r="F9"/>
  <c r="D9"/>
  <c r="R8"/>
  <c r="P8"/>
  <c r="F8"/>
  <c r="D8"/>
  <c r="R7"/>
  <c r="P7"/>
  <c r="F7"/>
  <c r="D7"/>
  <c r="R6"/>
  <c r="P6"/>
  <c r="F6"/>
  <c r="D6"/>
  <c r="R5"/>
  <c r="P5"/>
  <c r="F5"/>
  <c r="D5"/>
  <c r="G47" i="4"/>
  <c r="H47" s="1"/>
  <c r="G48"/>
  <c r="H48" s="1"/>
  <c r="G18" i="3"/>
  <c r="G19"/>
  <c r="G20"/>
  <c r="G21"/>
  <c r="G22"/>
  <c r="G17"/>
  <c r="D18"/>
  <c r="D19"/>
  <c r="D20"/>
  <c r="D21"/>
  <c r="D22"/>
  <c r="D17"/>
  <c r="F10" i="4"/>
  <c r="E10"/>
  <c r="F6" i="3"/>
  <c r="E6"/>
  <c r="D6"/>
  <c r="F8" i="4"/>
  <c r="F6"/>
  <c r="E6"/>
  <c r="D6"/>
  <c r="C6"/>
  <c r="F4"/>
  <c r="B50" i="3"/>
  <c r="B51"/>
  <c r="B52"/>
  <c r="B53"/>
  <c r="B54"/>
  <c r="B49"/>
  <c r="B57" i="2"/>
  <c r="E57"/>
  <c r="H57" s="1"/>
  <c r="B58"/>
  <c r="E58" s="1"/>
  <c r="H58" s="1"/>
  <c r="B59"/>
  <c r="E59"/>
  <c r="H59" s="1"/>
  <c r="B60"/>
  <c r="E60" s="1"/>
  <c r="H60" s="1"/>
  <c r="B61"/>
  <c r="E61"/>
  <c r="H61" s="1"/>
  <c r="B56"/>
  <c r="E56" s="1"/>
  <c r="H56" s="1"/>
  <c r="I45" i="3"/>
  <c r="I44"/>
  <c r="I43"/>
  <c r="I42"/>
  <c r="I33"/>
  <c r="I32"/>
  <c r="I20"/>
  <c r="I21"/>
  <c r="I22"/>
  <c r="H32"/>
  <c r="H33"/>
  <c r="H20"/>
  <c r="H21"/>
  <c r="H22"/>
  <c r="F20"/>
  <c r="F21"/>
  <c r="F22"/>
  <c r="E13"/>
  <c r="C13"/>
  <c r="C12"/>
  <c r="E12" s="1"/>
  <c r="H12" s="1"/>
  <c r="H27" i="6"/>
  <c r="H28"/>
  <c r="H29"/>
  <c r="H30"/>
  <c r="H17"/>
  <c r="H19"/>
  <c r="H20"/>
  <c r="H21"/>
  <c r="F23" i="2"/>
  <c r="F24"/>
  <c r="F25"/>
  <c r="F19" i="6"/>
  <c r="F20"/>
  <c r="F21"/>
  <c r="E5"/>
  <c r="E8" i="4" s="1"/>
  <c r="C5" i="6"/>
  <c r="C8" i="4" s="1"/>
  <c r="G8" s="1"/>
  <c r="H8" s="1"/>
  <c r="C1" i="6"/>
  <c r="R34"/>
  <c r="R33"/>
  <c r="R32"/>
  <c r="R31"/>
  <c r="R30"/>
  <c r="E30"/>
  <c r="R29"/>
  <c r="E29"/>
  <c r="R28"/>
  <c r="E28"/>
  <c r="R27"/>
  <c r="E27"/>
  <c r="E26"/>
  <c r="H26"/>
  <c r="E25"/>
  <c r="R24"/>
  <c r="R23"/>
  <c r="R22"/>
  <c r="R21"/>
  <c r="P21"/>
  <c r="O21"/>
  <c r="N21"/>
  <c r="D21"/>
  <c r="R20"/>
  <c r="P20"/>
  <c r="O20"/>
  <c r="N20"/>
  <c r="D20"/>
  <c r="R19"/>
  <c r="P19"/>
  <c r="O19"/>
  <c r="N19"/>
  <c r="R18"/>
  <c r="P18"/>
  <c r="O18"/>
  <c r="N18"/>
  <c r="R17"/>
  <c r="P17"/>
  <c r="O17"/>
  <c r="N17"/>
  <c r="R16"/>
  <c r="P16"/>
  <c r="O16"/>
  <c r="N16"/>
  <c r="R15"/>
  <c r="P15"/>
  <c r="O15"/>
  <c r="N15"/>
  <c r="E11"/>
  <c r="C11"/>
  <c r="H38" i="2"/>
  <c r="I38"/>
  <c r="H39"/>
  <c r="I39"/>
  <c r="E34"/>
  <c r="H34"/>
  <c r="E35"/>
  <c r="H35"/>
  <c r="E36"/>
  <c r="H36"/>
  <c r="E37"/>
  <c r="H37"/>
  <c r="I37" s="1"/>
  <c r="E38"/>
  <c r="E39"/>
  <c r="T37"/>
  <c r="T38"/>
  <c r="T39"/>
  <c r="T40"/>
  <c r="T41"/>
  <c r="T42"/>
  <c r="T43"/>
  <c r="T36"/>
  <c r="H23"/>
  <c r="J23" s="1"/>
  <c r="H24"/>
  <c r="J24" s="1"/>
  <c r="H25"/>
  <c r="J25" s="1"/>
  <c r="C1"/>
  <c r="D20"/>
  <c r="D21"/>
  <c r="D22"/>
  <c r="D23"/>
  <c r="D24"/>
  <c r="D25"/>
  <c r="D19"/>
  <c r="T19"/>
  <c r="E8"/>
  <c r="C8"/>
  <c r="C6"/>
  <c r="D18" i="4"/>
  <c r="C17"/>
  <c r="H20"/>
  <c r="G71"/>
  <c r="H71"/>
  <c r="G72"/>
  <c r="H72"/>
  <c r="G73"/>
  <c r="H73"/>
  <c r="G74"/>
  <c r="H74"/>
  <c r="G70"/>
  <c r="H70"/>
  <c r="G69"/>
  <c r="H69"/>
  <c r="H75" s="1"/>
  <c r="B58"/>
  <c r="D58" s="1"/>
  <c r="B59"/>
  <c r="E59"/>
  <c r="B60"/>
  <c r="D60"/>
  <c r="B61"/>
  <c r="E61"/>
  <c r="B62"/>
  <c r="B63"/>
  <c r="E63" s="1"/>
  <c r="G63" s="1"/>
  <c r="H63" s="1"/>
  <c r="B64"/>
  <c r="B65"/>
  <c r="E65"/>
  <c r="B57"/>
  <c r="D57"/>
  <c r="B37"/>
  <c r="B38"/>
  <c r="B39"/>
  <c r="B40"/>
  <c r="B41"/>
  <c r="B42"/>
  <c r="B43"/>
  <c r="B44"/>
  <c r="B45"/>
  <c r="B46"/>
  <c r="B49"/>
  <c r="G49"/>
  <c r="H49" s="1"/>
  <c r="B50"/>
  <c r="G50" s="1"/>
  <c r="H50" s="1"/>
  <c r="B36"/>
  <c r="B24"/>
  <c r="B25"/>
  <c r="B26"/>
  <c r="C26" s="1"/>
  <c r="G26" s="1"/>
  <c r="H26" s="1"/>
  <c r="B27"/>
  <c r="B28"/>
  <c r="B29"/>
  <c r="B30"/>
  <c r="C30" s="1"/>
  <c r="B31"/>
  <c r="E31"/>
  <c r="B32"/>
  <c r="C32"/>
  <c r="B23"/>
  <c r="T20" i="2"/>
  <c r="T21"/>
  <c r="T22"/>
  <c r="T23"/>
  <c r="T24"/>
  <c r="T25"/>
  <c r="T27"/>
  <c r="T28"/>
  <c r="T29"/>
  <c r="R19"/>
  <c r="R20"/>
  <c r="R21"/>
  <c r="R22"/>
  <c r="R23"/>
  <c r="R24"/>
  <c r="R25"/>
  <c r="C18" i="4"/>
  <c r="D17"/>
  <c r="D16"/>
  <c r="U30" i="3"/>
  <c r="U31"/>
  <c r="U32"/>
  <c r="U33"/>
  <c r="U34"/>
  <c r="U35"/>
  <c r="U29"/>
  <c r="I7"/>
  <c r="I9"/>
  <c r="I14"/>
  <c r="I15"/>
  <c r="I24"/>
  <c r="I37"/>
  <c r="I47"/>
  <c r="I57"/>
  <c r="F43"/>
  <c r="F44"/>
  <c r="F45"/>
  <c r="E43"/>
  <c r="E44"/>
  <c r="E45"/>
  <c r="C28" i="4"/>
  <c r="C31"/>
  <c r="C24"/>
  <c r="C23"/>
  <c r="C4" i="3"/>
  <c r="C27" i="4"/>
  <c r="H7" i="7"/>
  <c r="H5"/>
  <c r="H10"/>
  <c r="H8"/>
  <c r="H6"/>
  <c r="H11"/>
  <c r="H9"/>
  <c r="D10" i="4"/>
  <c r="G10"/>
  <c r="H10" s="1"/>
  <c r="H13" i="3"/>
  <c r="G6" i="4"/>
  <c r="H6"/>
  <c r="D23"/>
  <c r="D31"/>
  <c r="D29"/>
  <c r="D27"/>
  <c r="D25"/>
  <c r="F23"/>
  <c r="F31"/>
  <c r="F29"/>
  <c r="F27"/>
  <c r="F25"/>
  <c r="G32"/>
  <c r="H32"/>
  <c r="D32"/>
  <c r="D30"/>
  <c r="D28"/>
  <c r="D26"/>
  <c r="D24"/>
  <c r="F32"/>
  <c r="F30"/>
  <c r="F28"/>
  <c r="F26"/>
  <c r="F24"/>
  <c r="E32"/>
  <c r="H6" i="3"/>
  <c r="I6" s="1"/>
  <c r="H5" i="6"/>
  <c r="H25"/>
  <c r="H7"/>
  <c r="H11"/>
  <c r="J39" i="2"/>
  <c r="J37"/>
  <c r="J38"/>
  <c r="J36"/>
  <c r="J34"/>
  <c r="J35"/>
  <c r="C4"/>
  <c r="C15"/>
  <c r="C16" i="4"/>
  <c r="G16" s="1"/>
  <c r="E15" i="2"/>
  <c r="I34"/>
  <c r="I35"/>
  <c r="I36"/>
  <c r="I24"/>
  <c r="I25"/>
  <c r="I23"/>
  <c r="H8"/>
  <c r="J8"/>
  <c r="C57" i="4"/>
  <c r="C59"/>
  <c r="G59" s="1"/>
  <c r="H59" s="1"/>
  <c r="C60"/>
  <c r="G60" s="1"/>
  <c r="H60" s="1"/>
  <c r="C58"/>
  <c r="G58" s="1"/>
  <c r="G18"/>
  <c r="H18"/>
  <c r="C64"/>
  <c r="C62"/>
  <c r="D65"/>
  <c r="D63"/>
  <c r="D61"/>
  <c r="D59"/>
  <c r="E57"/>
  <c r="E64"/>
  <c r="E62"/>
  <c r="E60"/>
  <c r="E58"/>
  <c r="C65"/>
  <c r="C63"/>
  <c r="C61"/>
  <c r="G61" s="1"/>
  <c r="H61" s="1"/>
  <c r="D64"/>
  <c r="D62"/>
  <c r="G17"/>
  <c r="H17" s="1"/>
  <c r="D43" i="3"/>
  <c r="H43" s="1"/>
  <c r="D44"/>
  <c r="H44" s="1"/>
  <c r="D45"/>
  <c r="H45" s="1"/>
  <c r="U42"/>
  <c r="U43"/>
  <c r="U44"/>
  <c r="U45"/>
  <c r="U41"/>
  <c r="U15"/>
  <c r="U16"/>
  <c r="U17"/>
  <c r="U18"/>
  <c r="U19"/>
  <c r="U20"/>
  <c r="U21"/>
  <c r="U22"/>
  <c r="U23"/>
  <c r="U14"/>
  <c r="G79" i="1"/>
  <c r="E50" i="3"/>
  <c r="H50" s="1"/>
  <c r="I50" s="1"/>
  <c r="G80" i="1"/>
  <c r="E51" i="3"/>
  <c r="H51" s="1"/>
  <c r="I51" s="1"/>
  <c r="G81" i="1"/>
  <c r="E52" i="3"/>
  <c r="H52" s="1"/>
  <c r="I52" s="1"/>
  <c r="G82" i="1"/>
  <c r="E53" i="3"/>
  <c r="H53" s="1"/>
  <c r="I53" s="1"/>
  <c r="G83" i="1"/>
  <c r="E54" i="3"/>
  <c r="H54" s="1"/>
  <c r="I54" s="1"/>
  <c r="G78" i="1"/>
  <c r="E49" i="3"/>
  <c r="H49" s="1"/>
  <c r="G49" i="2"/>
  <c r="G50"/>
  <c r="G51"/>
  <c r="G52"/>
  <c r="G47"/>
  <c r="G46"/>
  <c r="F49"/>
  <c r="F50"/>
  <c r="F51"/>
  <c r="F52"/>
  <c r="F47"/>
  <c r="F46"/>
  <c r="T47"/>
  <c r="T48"/>
  <c r="T49"/>
  <c r="T50"/>
  <c r="T46"/>
  <c r="G33" i="1"/>
  <c r="E24" i="4"/>
  <c r="G24" s="1"/>
  <c r="F17" i="3"/>
  <c r="G34" i="1"/>
  <c r="H18" i="6"/>
  <c r="G35" i="1"/>
  <c r="F22" i="2"/>
  <c r="E26" i="4"/>
  <c r="G36" i="1"/>
  <c r="F19" i="3"/>
  <c r="G37" i="1"/>
  <c r="E28" i="4"/>
  <c r="G38" i="1"/>
  <c r="E29" i="4"/>
  <c r="G39" i="1"/>
  <c r="E30" i="4"/>
  <c r="G40" i="1"/>
  <c r="G41"/>
  <c r="G32"/>
  <c r="E23" i="4"/>
  <c r="G23"/>
  <c r="D12" i="3"/>
  <c r="E4"/>
  <c r="E4" i="4" s="1"/>
  <c r="D4" i="3"/>
  <c r="D4" i="4" s="1"/>
  <c r="B31" i="2"/>
  <c r="G41" i="4" s="1"/>
  <c r="H41" s="1"/>
  <c r="B32" i="2"/>
  <c r="B33"/>
  <c r="E33" s="1"/>
  <c r="H33" s="1"/>
  <c r="B30"/>
  <c r="G40" i="4"/>
  <c r="H40" s="1"/>
  <c r="E6" i="2"/>
  <c r="E4"/>
  <c r="H71" i="1"/>
  <c r="H70"/>
  <c r="H69"/>
  <c r="H68"/>
  <c r="H67"/>
  <c r="H66"/>
  <c r="H65"/>
  <c r="H64"/>
  <c r="D40" i="3"/>
  <c r="H63" i="1"/>
  <c r="F46"/>
  <c r="F47"/>
  <c r="F48"/>
  <c r="F49"/>
  <c r="F50"/>
  <c r="F51"/>
  <c r="F52"/>
  <c r="F53"/>
  <c r="F54"/>
  <c r="F55"/>
  <c r="F56"/>
  <c r="F57"/>
  <c r="F58"/>
  <c r="F59"/>
  <c r="F45"/>
  <c r="C29" i="4"/>
  <c r="G29"/>
  <c r="H29" s="1"/>
  <c r="F18" i="3"/>
  <c r="H12" i="7"/>
  <c r="H26" i="2"/>
  <c r="G30" i="4"/>
  <c r="H30"/>
  <c r="G28"/>
  <c r="H28"/>
  <c r="C25"/>
  <c r="H15" i="2"/>
  <c r="I15" s="1"/>
  <c r="E25" i="4"/>
  <c r="E27"/>
  <c r="G27"/>
  <c r="H27" s="1"/>
  <c r="G45"/>
  <c r="H45" s="1"/>
  <c r="G44"/>
  <c r="H44" s="1"/>
  <c r="C4"/>
  <c r="I13" i="3"/>
  <c r="H19"/>
  <c r="I19"/>
  <c r="H18"/>
  <c r="I18"/>
  <c r="H17"/>
  <c r="I17"/>
  <c r="E30" i="2"/>
  <c r="H16" i="6"/>
  <c r="F16"/>
  <c r="F20" i="2"/>
  <c r="H20"/>
  <c r="J20" s="1"/>
  <c r="J27" s="1"/>
  <c r="F19"/>
  <c r="H19"/>
  <c r="J19"/>
  <c r="H15" i="6"/>
  <c r="H22"/>
  <c r="F15"/>
  <c r="J15" i="2"/>
  <c r="E32"/>
  <c r="H32"/>
  <c r="J32" s="1"/>
  <c r="E31"/>
  <c r="I8"/>
  <c r="G57" i="4"/>
  <c r="H57"/>
  <c r="G65"/>
  <c r="H65"/>
  <c r="G62"/>
  <c r="H62"/>
  <c r="G64"/>
  <c r="H64"/>
  <c r="F40" i="3"/>
  <c r="E40"/>
  <c r="E41"/>
  <c r="F41"/>
  <c r="H4"/>
  <c r="I4"/>
  <c r="H6" i="2"/>
  <c r="J6"/>
  <c r="H4"/>
  <c r="J4"/>
  <c r="J10" s="1"/>
  <c r="I23" i="3"/>
  <c r="I19" i="2"/>
  <c r="H30"/>
  <c r="I30" s="1"/>
  <c r="H10"/>
  <c r="E50" s="1"/>
  <c r="H50" s="1"/>
  <c r="I6"/>
  <c r="H23" i="3"/>
  <c r="H30"/>
  <c r="H31"/>
  <c r="F42"/>
  <c r="D42"/>
  <c r="H42"/>
  <c r="E42"/>
  <c r="F48" i="2"/>
  <c r="G48"/>
  <c r="I31" i="3"/>
  <c r="G46" i="4"/>
  <c r="H46" s="1"/>
  <c r="I30" i="3"/>
  <c r="G43" i="4"/>
  <c r="H43"/>
  <c r="G75"/>
  <c r="H22" i="2"/>
  <c r="I22" s="1"/>
  <c r="H21"/>
  <c r="I21" s="1"/>
  <c r="F18" i="6"/>
  <c r="F21" i="2"/>
  <c r="I4"/>
  <c r="I10" s="1"/>
  <c r="G42" i="4"/>
  <c r="H42"/>
  <c r="G31"/>
  <c r="H31"/>
  <c r="F17" i="6"/>
  <c r="J21" i="2"/>
  <c r="J22"/>
  <c r="I32"/>
  <c r="G25" i="4"/>
  <c r="H25" s="1"/>
  <c r="H8" i="3"/>
  <c r="D41"/>
  <c r="H41" s="1"/>
  <c r="E33"/>
  <c r="E31"/>
  <c r="E28"/>
  <c r="H28"/>
  <c r="H31" i="6"/>
  <c r="H32"/>
  <c r="H33" s="1"/>
  <c r="H35" s="1"/>
  <c r="H14" i="2" s="1"/>
  <c r="H23" i="4"/>
  <c r="I8" i="3"/>
  <c r="E32"/>
  <c r="E30"/>
  <c r="H40"/>
  <c r="G38" i="4"/>
  <c r="H38" s="1"/>
  <c r="I28" i="3"/>
  <c r="J26" i="2"/>
  <c r="I26"/>
  <c r="I40" i="3"/>
  <c r="E26"/>
  <c r="H26"/>
  <c r="G36" i="4" s="1"/>
  <c r="E29" i="3"/>
  <c r="H29"/>
  <c r="I29" s="1"/>
  <c r="E27"/>
  <c r="H27" s="1"/>
  <c r="I26"/>
  <c r="J33" i="2" l="1"/>
  <c r="G39" i="4"/>
  <c r="H39" s="1"/>
  <c r="I33" i="2"/>
  <c r="H36" i="4"/>
  <c r="H46" i="3"/>
  <c r="I41"/>
  <c r="J50" i="2"/>
  <c r="I50"/>
  <c r="G33" i="4"/>
  <c r="H24"/>
  <c r="H58"/>
  <c r="H66" s="1"/>
  <c r="H76" s="1"/>
  <c r="G66"/>
  <c r="G76" s="1"/>
  <c r="I61" i="2"/>
  <c r="J61"/>
  <c r="J60"/>
  <c r="I60"/>
  <c r="I57"/>
  <c r="J57"/>
  <c r="H33" i="4"/>
  <c r="G4"/>
  <c r="I27" i="3"/>
  <c r="I49"/>
  <c r="H55"/>
  <c r="I55" s="1"/>
  <c r="H16" i="4"/>
  <c r="G19"/>
  <c r="I12" i="3"/>
  <c r="H34"/>
  <c r="I34" s="1"/>
  <c r="J56" i="2"/>
  <c r="I56"/>
  <c r="H62"/>
  <c r="I59"/>
  <c r="J59"/>
  <c r="J58"/>
  <c r="I58"/>
  <c r="H27"/>
  <c r="J30"/>
  <c r="E52"/>
  <c r="H52" s="1"/>
  <c r="E47"/>
  <c r="H47" s="1"/>
  <c r="E49"/>
  <c r="H49" s="1"/>
  <c r="E51"/>
  <c r="H51" s="1"/>
  <c r="E46"/>
  <c r="H46" s="1"/>
  <c r="E48"/>
  <c r="H48" s="1"/>
  <c r="I20"/>
  <c r="I27" s="1"/>
  <c r="H31"/>
  <c r="H19" i="4"/>
  <c r="I14" i="2"/>
  <c r="J14"/>
  <c r="J31" l="1"/>
  <c r="I31"/>
  <c r="G37" i="4"/>
  <c r="J48" i="2"/>
  <c r="I48"/>
  <c r="J51"/>
  <c r="I51"/>
  <c r="I47"/>
  <c r="J47"/>
  <c r="H4" i="4"/>
  <c r="H12" s="1"/>
  <c r="G12"/>
  <c r="J62" i="2"/>
  <c r="H35" i="3"/>
  <c r="J46" i="2"/>
  <c r="I46"/>
  <c r="H53"/>
  <c r="H63" s="1"/>
  <c r="I49"/>
  <c r="J49"/>
  <c r="I52"/>
  <c r="J52"/>
  <c r="H56" i="3"/>
  <c r="I56" s="1"/>
  <c r="I46"/>
  <c r="H40" i="2"/>
  <c r="I62"/>
  <c r="J40" l="1"/>
  <c r="J41" s="1"/>
  <c r="J42" s="1"/>
  <c r="G51" i="4"/>
  <c r="H51" s="1"/>
  <c r="I40" i="2"/>
  <c r="I35" i="3"/>
  <c r="H36"/>
  <c r="H37" i="4"/>
  <c r="H52" s="1"/>
  <c r="H53" s="1"/>
  <c r="H78" s="1"/>
  <c r="H80" s="1"/>
  <c r="I53" i="2"/>
  <c r="I63" s="1"/>
  <c r="J53"/>
  <c r="J63" s="1"/>
  <c r="H41"/>
  <c r="H42" s="1"/>
  <c r="H65" s="1"/>
  <c r="I41"/>
  <c r="I42" s="1"/>
  <c r="H58" i="3" l="1"/>
  <c r="H60" s="1"/>
  <c r="I36"/>
  <c r="I58" s="1"/>
  <c r="I60" s="1"/>
  <c r="I65" i="2"/>
  <c r="G52" i="4"/>
  <c r="G53" s="1"/>
  <c r="G78" s="1"/>
  <c r="G80" s="1"/>
  <c r="J65" i="2"/>
</calcChain>
</file>

<file path=xl/sharedStrings.xml><?xml version="1.0" encoding="utf-8"?>
<sst xmlns="http://schemas.openxmlformats.org/spreadsheetml/2006/main" count="434" uniqueCount="169">
  <si>
    <t>pounds</t>
  </si>
  <si>
    <t>$ / cwt</t>
  </si>
  <si>
    <t>$ / head</t>
  </si>
  <si>
    <t>years</t>
  </si>
  <si>
    <t>per head</t>
  </si>
  <si>
    <t>$ / Head</t>
  </si>
  <si>
    <t>Price</t>
  </si>
  <si>
    <t>head</t>
  </si>
  <si>
    <t>Feed</t>
  </si>
  <si>
    <t>Description</t>
  </si>
  <si>
    <t>Price per Unit Purchased</t>
  </si>
  <si>
    <t>Fed Unit per Purchased Unit</t>
  </si>
  <si>
    <t/>
  </si>
  <si>
    <t>Labor</t>
  </si>
  <si>
    <t>Fuel</t>
  </si>
  <si>
    <t>Veterinary and Medical</t>
  </si>
  <si>
    <t>Depreciable Input Costs</t>
  </si>
  <si>
    <t>Current Cost</t>
  </si>
  <si>
    <t>Future Cost</t>
  </si>
  <si>
    <t>Annual Repairs</t>
  </si>
  <si>
    <t>Repairs</t>
  </si>
  <si>
    <t>Finishing Housing</t>
  </si>
  <si>
    <t>Finishing Machinery</t>
  </si>
  <si>
    <t>Interest</t>
  </si>
  <si>
    <t>Operations Interest Rate</t>
  </si>
  <si>
    <t>Opportunity Rate</t>
  </si>
  <si>
    <t>Real Estate Value</t>
  </si>
  <si>
    <t>Real Estate Tax</t>
  </si>
  <si>
    <t>per year</t>
  </si>
  <si>
    <t>Annual Insurance Premium</t>
  </si>
  <si>
    <t>Professional Fees</t>
  </si>
  <si>
    <t>Annual Management Charge</t>
  </si>
  <si>
    <t>Other</t>
  </si>
  <si>
    <t>head/year</t>
  </si>
  <si>
    <t>Non-Feed Input Costs</t>
  </si>
  <si>
    <t>Cost per Year</t>
  </si>
  <si>
    <t>Percent for Finishing</t>
  </si>
  <si>
    <t>Remaining Life</t>
  </si>
  <si>
    <t>As Fed Price</t>
  </si>
  <si>
    <t>Income</t>
  </si>
  <si>
    <t>Weight</t>
  </si>
  <si>
    <t>Total</t>
  </si>
  <si>
    <t>per cwt</t>
  </si>
  <si>
    <t>Gross Income</t>
  </si>
  <si>
    <t>Variable Costs</t>
  </si>
  <si>
    <t>$ per head</t>
  </si>
  <si>
    <t>Units</t>
  </si>
  <si>
    <t>Total Feed</t>
  </si>
  <si>
    <t>Operations Interest</t>
  </si>
  <si>
    <t>Total Variable Costs</t>
  </si>
  <si>
    <t>Fixed Costs</t>
  </si>
  <si>
    <t>Depreciables Input Costs</t>
  </si>
  <si>
    <t>Total Depreciables</t>
  </si>
  <si>
    <t>Real Estate Opportunity</t>
  </si>
  <si>
    <t>Insurance</t>
  </si>
  <si>
    <t>Management</t>
  </si>
  <si>
    <t>Total Overhead and Ownership</t>
  </si>
  <si>
    <t>Total Fixed Costs</t>
  </si>
  <si>
    <t>Net Income</t>
  </si>
  <si>
    <t>Number</t>
  </si>
  <si>
    <t>NonFeed</t>
  </si>
  <si>
    <t>Total NonFeed</t>
  </si>
  <si>
    <t>Depreciation</t>
  </si>
  <si>
    <t>Other Variable</t>
  </si>
  <si>
    <t>Allocation</t>
  </si>
  <si>
    <t>Total Other</t>
  </si>
  <si>
    <t>Total Ownership</t>
  </si>
  <si>
    <t>Oppor-tunity</t>
  </si>
  <si>
    <t>Total Overhead</t>
  </si>
  <si>
    <t>Overhead Costs</t>
  </si>
  <si>
    <t>Days fed</t>
  </si>
  <si>
    <t>days</t>
  </si>
  <si>
    <t>Finishing Budget</t>
  </si>
  <si>
    <t>Overhead and Management</t>
  </si>
  <si>
    <r>
      <rPr>
        <b/>
        <sz val="10"/>
        <color indexed="8"/>
        <rFont val="Arial"/>
        <family val="2"/>
      </rPr>
      <t>Oppor-</t>
    </r>
    <r>
      <rPr>
        <b/>
        <u/>
        <sz val="10"/>
        <color indexed="8"/>
        <rFont val="Arial"/>
        <family val="2"/>
      </rPr>
      <t>tunity</t>
    </r>
  </si>
  <si>
    <t>Amount</t>
  </si>
  <si>
    <t>Total Animals Purchased</t>
  </si>
  <si>
    <t>Budget Inputs</t>
  </si>
  <si>
    <t>Depre-ciation</t>
  </si>
  <si>
    <r>
      <t xml:space="preserve">Fed Unit </t>
    </r>
    <r>
      <rPr>
        <sz val="10"/>
        <color theme="1"/>
        <rFont val="Arial"/>
        <family val="2"/>
      </rPr>
      <t>(tons, lbs. etc)</t>
    </r>
  </si>
  <si>
    <t>Breeding Flock</t>
  </si>
  <si>
    <t>Lamb Finishing</t>
  </si>
  <si>
    <t>Flock size</t>
  </si>
  <si>
    <t>ewes</t>
  </si>
  <si>
    <t>Ewe Deaths per year</t>
  </si>
  <si>
    <t>Cull Ewe Sale Weight</t>
  </si>
  <si>
    <t>Cull Ewe Sale Price</t>
  </si>
  <si>
    <t>Rams Needed</t>
  </si>
  <si>
    <t>Ram Purchase Price</t>
  </si>
  <si>
    <t>Ram use (years)</t>
  </si>
  <si>
    <t>Ram Death Loss Rate</t>
  </si>
  <si>
    <t>Cull Ram Value</t>
  </si>
  <si>
    <t>Ram(s)</t>
  </si>
  <si>
    <t>Lambs Weaned</t>
  </si>
  <si>
    <t>Lamb Weaning Weight</t>
  </si>
  <si>
    <t>Weaning Lamb Price</t>
  </si>
  <si>
    <t>Weaned Lambs Purchased</t>
  </si>
  <si>
    <t>Finished Lamb Weight</t>
  </si>
  <si>
    <t>Finished Lamb Price</t>
  </si>
  <si>
    <t>Finished Lambs Sold</t>
  </si>
  <si>
    <t>Weaned Lamb Marketing</t>
  </si>
  <si>
    <t>Finished Lamb Marketing</t>
  </si>
  <si>
    <t>Cull Ewe Marketing</t>
  </si>
  <si>
    <t>Cull Ram Marketing</t>
  </si>
  <si>
    <r>
      <t xml:space="preserve">Percent for Farm Flock </t>
    </r>
    <r>
      <rPr>
        <sz val="10"/>
        <color theme="1"/>
        <rFont val="Arial"/>
        <family val="2"/>
      </rPr>
      <t>(Optional)</t>
    </r>
  </si>
  <si>
    <t>Farm Flock Housing</t>
  </si>
  <si>
    <t>Farm Flock Machinery</t>
  </si>
  <si>
    <t xml:space="preserve">Farm Flock Budget </t>
  </si>
  <si>
    <t>Weaned Lamb Value</t>
  </si>
  <si>
    <t>Cull Ewe Sales</t>
  </si>
  <si>
    <t>Cull Ram Sales</t>
  </si>
  <si>
    <t>Per Ewe</t>
  </si>
  <si>
    <t>Ewes</t>
  </si>
  <si>
    <t>Rams</t>
  </si>
  <si>
    <t>Lamb Sales</t>
  </si>
  <si>
    <t>Combined Farm Flock and Lamb Finishing</t>
  </si>
  <si>
    <t>Finished Lamb Sales</t>
  </si>
  <si>
    <t>Feeder Lambs</t>
  </si>
  <si>
    <t>Price for Weaned Lambs</t>
  </si>
  <si>
    <r>
      <t xml:space="preserve">Purchased Unit </t>
    </r>
    <r>
      <rPr>
        <sz val="10"/>
        <color theme="1"/>
        <rFont val="Arial"/>
        <family val="2"/>
      </rPr>
      <t>(tons, lbs. etc)</t>
    </r>
  </si>
  <si>
    <t>$ / lb</t>
  </si>
  <si>
    <t>Wool Price</t>
  </si>
  <si>
    <t>Alfalfa Hay</t>
  </si>
  <si>
    <t>Ewes Culled per Year</t>
  </si>
  <si>
    <t>Wool Sales</t>
  </si>
  <si>
    <t>per lb</t>
  </si>
  <si>
    <t>Per Lamb Sold</t>
  </si>
  <si>
    <t>all animals</t>
  </si>
  <si>
    <t>per animal</t>
  </si>
  <si>
    <t>Is this Cost Per Animal or for All Animals?</t>
  </si>
  <si>
    <t>Breeding Costs</t>
  </si>
  <si>
    <t>Ewe Feed</t>
  </si>
  <si>
    <t>Amount per Year</t>
  </si>
  <si>
    <t>Per Animal or Total</t>
  </si>
  <si>
    <t>total</t>
  </si>
  <si>
    <t>lbs  @</t>
  </si>
  <si>
    <t>Other Variables</t>
  </si>
  <si>
    <t>Flock Total</t>
  </si>
  <si>
    <t>Are Replacement Ewes Purchasd?</t>
  </si>
  <si>
    <t>Yes</t>
  </si>
  <si>
    <t>No</t>
  </si>
  <si>
    <t>Replacement Ewe Cost (if applicable)</t>
  </si>
  <si>
    <t>Replacement Ewes Purchased</t>
  </si>
  <si>
    <t xml:space="preserve">Farm Ram Budget </t>
  </si>
  <si>
    <t>head @</t>
  </si>
  <si>
    <t>Ram Feed</t>
  </si>
  <si>
    <t>Net Expense</t>
  </si>
  <si>
    <t>(This amount is the "Net Expenses" from the "Rams" tab)</t>
  </si>
  <si>
    <t>Weaned Lambs (Raised)</t>
  </si>
  <si>
    <t>Weaned Lambs (Purchased)</t>
  </si>
  <si>
    <t>Amount Fed per Year</t>
  </si>
  <si>
    <t>Ewe Wool Sold</t>
  </si>
  <si>
    <t>Animal Purchases</t>
  </si>
  <si>
    <t xml:space="preserve">Farm Replacement Budget </t>
  </si>
  <si>
    <t>Replacement Feed</t>
  </si>
  <si>
    <t>Replacement Ewe Feed</t>
  </si>
  <si>
    <t>(From Replacement Spreadsheet)</t>
  </si>
  <si>
    <t>Total Costs</t>
  </si>
  <si>
    <t xml:space="preserve"> (If "No", the lamb crop will be reduced by the amount of ewes culled and died per year)</t>
  </si>
  <si>
    <t>Lamb Wool Sold</t>
  </si>
  <si>
    <t>Percent for Farm Flock</t>
  </si>
  <si>
    <t>(This entry will not be used if the above question is answered "No".)</t>
  </si>
  <si>
    <t>Grass Hay</t>
  </si>
  <si>
    <t>bale</t>
  </si>
  <si>
    <t>ton</t>
  </si>
  <si>
    <t>Mineral</t>
  </si>
  <si>
    <t>bag</t>
  </si>
  <si>
    <t>Trucking</t>
  </si>
  <si>
    <t>Modified Distillers Grains</t>
  </si>
</sst>
</file>

<file path=xl/styles.xml><?xml version="1.0" encoding="utf-8"?>
<styleSheet xmlns="http://schemas.openxmlformats.org/spreadsheetml/2006/main">
  <numFmts count="3">
    <numFmt numFmtId="43" formatCode="_(* #,##0.00_);_(* \(#,##0.00\);_(* &quot;-&quot;??_);_(@_)"/>
    <numFmt numFmtId="164" formatCode="_(* #,##0_);_(* \(#,##0\);_(* &quot;-&quot;??_);_(@_)"/>
    <numFmt numFmtId="165" formatCode="0.0"/>
  </numFmts>
  <fonts count="22">
    <font>
      <sz val="10"/>
      <color theme="1"/>
      <name val="Arial"/>
      <family val="2"/>
    </font>
    <font>
      <b/>
      <sz val="10"/>
      <color indexed="8"/>
      <name val="Arial"/>
      <family val="2"/>
    </font>
    <font>
      <sz val="14"/>
      <name val="Arial"/>
      <family val="2"/>
    </font>
    <font>
      <b/>
      <u/>
      <sz val="10"/>
      <color indexed="8"/>
      <name val="Arial"/>
      <family val="2"/>
    </font>
    <font>
      <sz val="10"/>
      <name val="Arial"/>
      <family val="2"/>
    </font>
    <font>
      <sz val="10"/>
      <color theme="1"/>
      <name val="Arial"/>
      <family val="2"/>
    </font>
    <font>
      <sz val="10"/>
      <color theme="0"/>
      <name val="Arial"/>
      <family val="2"/>
    </font>
    <font>
      <b/>
      <sz val="10"/>
      <color theme="0"/>
      <name val="Arial"/>
      <family val="2"/>
    </font>
    <font>
      <b/>
      <sz val="10"/>
      <color theme="1"/>
      <name val="Arial"/>
      <family val="2"/>
    </font>
    <font>
      <b/>
      <sz val="14"/>
      <color theme="0"/>
      <name val="Arial"/>
      <family val="2"/>
    </font>
    <font>
      <sz val="14"/>
      <color theme="1"/>
      <name val="Arial"/>
      <family val="2"/>
    </font>
    <font>
      <b/>
      <sz val="12"/>
      <color theme="0"/>
      <name val="Arial"/>
      <family val="2"/>
    </font>
    <font>
      <b/>
      <u/>
      <sz val="10"/>
      <color theme="1"/>
      <name val="Arial"/>
      <family val="2"/>
    </font>
    <font>
      <sz val="10"/>
      <color theme="0" tint="-4.9989318521683403E-2"/>
      <name val="Arial"/>
      <family val="2"/>
    </font>
    <font>
      <b/>
      <sz val="10"/>
      <color theme="0" tint="-4.9989318521683403E-2"/>
      <name val="Arial"/>
      <family val="2"/>
    </font>
    <font>
      <sz val="24"/>
      <color theme="1"/>
      <name val="Arial"/>
      <family val="2"/>
    </font>
    <font>
      <u/>
      <sz val="10"/>
      <color theme="1"/>
      <name val="Arial"/>
      <family val="2"/>
    </font>
    <font>
      <b/>
      <sz val="12"/>
      <color theme="1"/>
      <name val="Arial"/>
      <family val="2"/>
    </font>
    <font>
      <sz val="10"/>
      <color rgb="FFFFFF00"/>
      <name val="Arial"/>
      <family val="2"/>
    </font>
    <font>
      <sz val="9"/>
      <color theme="1"/>
      <name val="Arial"/>
      <family val="2"/>
    </font>
    <font>
      <b/>
      <sz val="10"/>
      <color rgb="FFFFFF00"/>
      <name val="Arial"/>
      <family val="2"/>
    </font>
    <font>
      <sz val="10"/>
      <color theme="3" tint="0.39997558519241921"/>
      <name val="Arial"/>
      <family val="2"/>
    </font>
  </fonts>
  <fills count="9">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CCFFFF"/>
        <bgColor indexed="64"/>
      </patternFill>
    </fill>
    <fill>
      <patternFill patternType="solid">
        <fgColor theme="3" tint="0.79998168889431442"/>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style="double">
        <color indexed="64"/>
      </bottom>
      <diagonal/>
    </border>
    <border>
      <left style="medium">
        <color indexed="64"/>
      </left>
      <right/>
      <top/>
      <bottom style="medium">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medium">
        <color indexed="64"/>
      </right>
      <top style="medium">
        <color indexed="64"/>
      </top>
      <bottom/>
      <diagonal/>
    </border>
    <border>
      <left/>
      <right style="medium">
        <color indexed="64"/>
      </right>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double">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theme="0"/>
      </right>
      <top style="medium">
        <color indexed="64"/>
      </top>
      <bottom/>
      <diagonal/>
    </border>
    <border>
      <left style="medium">
        <color indexed="64"/>
      </left>
      <right style="thin">
        <color theme="0"/>
      </right>
      <top style="medium">
        <color indexed="64"/>
      </top>
      <bottom style="medium">
        <color indexed="64"/>
      </bottom>
      <diagonal/>
    </border>
    <border>
      <left style="thin">
        <color rgb="FF00B0F0"/>
      </left>
      <right style="thin">
        <color rgb="FF00B0F0"/>
      </right>
      <top style="thin">
        <color rgb="FF00B0F0"/>
      </top>
      <bottom style="thin">
        <color rgb="FF00B0F0"/>
      </bottom>
      <diagonal/>
    </border>
    <border>
      <left style="thin">
        <color indexed="64"/>
      </left>
      <right/>
      <top style="thin">
        <color rgb="FF00B0F0"/>
      </top>
      <bottom/>
      <diagonal/>
    </border>
    <border>
      <left style="thin">
        <color theme="0"/>
      </left>
      <right/>
      <top style="medium">
        <color indexed="64"/>
      </top>
      <bottom style="medium">
        <color indexed="64"/>
      </bottom>
      <diagonal/>
    </border>
    <border>
      <left/>
      <right style="thin">
        <color theme="0"/>
      </right>
      <top style="medium">
        <color indexed="64"/>
      </top>
      <bottom style="medium">
        <color indexed="64"/>
      </bottom>
      <diagonal/>
    </border>
    <border>
      <left style="thin">
        <color theme="0"/>
      </left>
      <right/>
      <top style="medium">
        <color indexed="64"/>
      </top>
      <bottom/>
      <diagonal/>
    </border>
    <border>
      <left style="thin">
        <color theme="0"/>
      </left>
      <right style="medium">
        <color indexed="64"/>
      </right>
      <top style="medium">
        <color indexed="64"/>
      </top>
      <bottom style="medium">
        <color indexed="64"/>
      </bottom>
      <diagonal/>
    </border>
    <border>
      <left style="thin">
        <color theme="0"/>
      </left>
      <right style="medium">
        <color indexed="64"/>
      </right>
      <top style="medium">
        <color indexed="64"/>
      </top>
      <bottom/>
      <diagonal/>
    </border>
    <border>
      <left style="thin">
        <color rgb="FF00B0F0"/>
      </left>
      <right style="thin">
        <color rgb="FF00B0F0"/>
      </right>
      <top/>
      <bottom style="thin">
        <color rgb="FF00B0F0"/>
      </bottom>
      <diagonal/>
    </border>
    <border>
      <left/>
      <right/>
      <top/>
      <bottom style="thin">
        <color theme="0"/>
      </bottom>
      <diagonal/>
    </border>
    <border>
      <left style="thin">
        <color theme="0"/>
      </left>
      <right/>
      <top/>
      <bottom/>
      <diagonal/>
    </border>
    <border>
      <left style="medium">
        <color indexed="64"/>
      </left>
      <right style="thin">
        <color rgb="FF00B0F0"/>
      </right>
      <top style="thin">
        <color rgb="FF00B0F0"/>
      </top>
      <bottom style="thin">
        <color rgb="FF00B0F0"/>
      </bottom>
      <diagonal/>
    </border>
    <border>
      <left style="medium">
        <color indexed="64"/>
      </left>
      <right/>
      <top style="thin">
        <color rgb="FF00B0F0"/>
      </top>
      <bottom style="thin">
        <color rgb="FF00B0F0"/>
      </bottom>
      <diagonal/>
    </border>
    <border>
      <left style="medium">
        <color indexed="64"/>
      </left>
      <right style="thin">
        <color rgb="FF00B0F0"/>
      </right>
      <top style="thin">
        <color rgb="FF00B0F0"/>
      </top>
      <bottom/>
      <diagonal/>
    </border>
    <border>
      <left style="thin">
        <color rgb="FF00B0F0"/>
      </left>
      <right/>
      <top/>
      <bottom/>
      <diagonal/>
    </border>
    <border>
      <left style="thin">
        <color indexed="64"/>
      </left>
      <right/>
      <top/>
      <bottom style="thin">
        <color rgb="FF00B0F0"/>
      </bottom>
      <diagonal/>
    </border>
  </borders>
  <cellStyleXfs count="3">
    <xf numFmtId="0" fontId="0" fillId="0" borderId="0"/>
    <xf numFmtId="43" fontId="5" fillId="0" borderId="0" applyFont="0" applyFill="0" applyBorder="0" applyAlignment="0" applyProtection="0"/>
    <xf numFmtId="9" fontId="5" fillId="0" borderId="0" applyFont="0" applyFill="0" applyBorder="0" applyAlignment="0" applyProtection="0"/>
  </cellStyleXfs>
  <cellXfs count="393">
    <xf numFmtId="0" fontId="0" fillId="0" borderId="0" xfId="0"/>
    <xf numFmtId="0" fontId="0" fillId="2" borderId="1" xfId="0" applyFill="1" applyBorder="1" applyAlignment="1" applyProtection="1">
      <alignment horizontal="center"/>
      <protection locked="0"/>
    </xf>
    <xf numFmtId="9" fontId="5" fillId="2" borderId="1" xfId="2" applyFont="1" applyFill="1" applyBorder="1" applyAlignment="1" applyProtection="1">
      <alignment horizontal="center"/>
      <protection locked="0"/>
    </xf>
    <xf numFmtId="0" fontId="0" fillId="2" borderId="2" xfId="0" applyFill="1" applyBorder="1" applyAlignment="1" applyProtection="1">
      <alignment horizontal="center"/>
      <protection locked="0"/>
    </xf>
    <xf numFmtId="0" fontId="4" fillId="2" borderId="3" xfId="0" applyFont="1" applyFill="1" applyBorder="1" applyProtection="1">
      <protection locked="0"/>
    </xf>
    <xf numFmtId="2" fontId="0" fillId="2" borderId="4" xfId="0" applyNumberFormat="1" applyFill="1" applyBorder="1" applyProtection="1">
      <protection locked="0"/>
    </xf>
    <xf numFmtId="0" fontId="0" fillId="2" borderId="4" xfId="0" applyFill="1" applyBorder="1" applyProtection="1">
      <protection locked="0"/>
    </xf>
    <xf numFmtId="0" fontId="4" fillId="2" borderId="5" xfId="0" applyFont="1" applyFill="1" applyBorder="1" applyProtection="1">
      <protection locked="0"/>
    </xf>
    <xf numFmtId="2" fontId="0" fillId="2" borderId="1" xfId="0" applyNumberFormat="1" applyFill="1" applyBorder="1" applyProtection="1">
      <protection locked="0"/>
    </xf>
    <xf numFmtId="0" fontId="0" fillId="2" borderId="1" xfId="0" applyFill="1" applyBorder="1" applyProtection="1">
      <protection locked="0"/>
    </xf>
    <xf numFmtId="0" fontId="4" fillId="2" borderId="6" xfId="0" applyFont="1" applyFill="1" applyBorder="1" applyProtection="1">
      <protection locked="0"/>
    </xf>
    <xf numFmtId="2" fontId="0" fillId="2" borderId="7" xfId="0" applyNumberFormat="1" applyFill="1" applyBorder="1" applyProtection="1">
      <protection locked="0"/>
    </xf>
    <xf numFmtId="0" fontId="0" fillId="2" borderId="7" xfId="0" applyFill="1" applyBorder="1" applyProtection="1">
      <protection locked="0"/>
    </xf>
    <xf numFmtId="0" fontId="4" fillId="2" borderId="8" xfId="0" applyFont="1" applyFill="1" applyBorder="1" applyProtection="1">
      <protection locked="0"/>
    </xf>
    <xf numFmtId="2" fontId="0" fillId="2" borderId="2" xfId="0" applyNumberFormat="1" applyFill="1" applyBorder="1" applyProtection="1">
      <protection locked="0"/>
    </xf>
    <xf numFmtId="9" fontId="5" fillId="2" borderId="9" xfId="2" applyFont="1" applyFill="1" applyBorder="1" applyAlignment="1" applyProtection="1">
      <alignment horizontal="center"/>
      <protection locked="0"/>
    </xf>
    <xf numFmtId="164" fontId="5" fillId="2" borderId="1" xfId="1" applyNumberFormat="1" applyFont="1" applyFill="1" applyBorder="1" applyProtection="1">
      <protection locked="0"/>
    </xf>
    <xf numFmtId="9" fontId="5" fillId="2" borderId="4" xfId="2" applyFont="1" applyFill="1" applyBorder="1" applyProtection="1">
      <protection locked="0"/>
    </xf>
    <xf numFmtId="9" fontId="5" fillId="2" borderId="1" xfId="2" applyFont="1" applyFill="1" applyBorder="1" applyProtection="1">
      <protection locked="0"/>
    </xf>
    <xf numFmtId="164" fontId="5" fillId="2" borderId="10" xfId="1" applyNumberFormat="1" applyFont="1" applyFill="1" applyBorder="1" applyProtection="1">
      <protection locked="0"/>
    </xf>
    <xf numFmtId="164" fontId="5" fillId="2" borderId="11" xfId="1" applyNumberFormat="1" applyFont="1" applyFill="1" applyBorder="1" applyProtection="1">
      <protection locked="0"/>
    </xf>
    <xf numFmtId="164" fontId="5" fillId="2" borderId="4" xfId="1" applyNumberFormat="1" applyFont="1" applyFill="1" applyBorder="1" applyProtection="1">
      <protection locked="0"/>
    </xf>
    <xf numFmtId="164" fontId="5" fillId="2" borderId="2" xfId="1" applyNumberFormat="1" applyFont="1" applyFill="1" applyBorder="1" applyProtection="1">
      <protection locked="0"/>
    </xf>
    <xf numFmtId="0" fontId="0" fillId="3" borderId="12" xfId="0" applyFill="1" applyBorder="1"/>
    <xf numFmtId="9" fontId="5" fillId="2" borderId="13" xfId="2" applyFont="1" applyFill="1" applyBorder="1" applyAlignment="1" applyProtection="1">
      <alignment horizontal="center"/>
      <protection locked="0"/>
    </xf>
    <xf numFmtId="2" fontId="0" fillId="2" borderId="14" xfId="0" applyNumberFormat="1" applyFill="1" applyBorder="1" applyProtection="1">
      <protection locked="0"/>
    </xf>
    <xf numFmtId="2" fontId="0" fillId="2" borderId="15" xfId="0" applyNumberFormat="1" applyFill="1" applyBorder="1" applyProtection="1">
      <protection locked="0"/>
    </xf>
    <xf numFmtId="0" fontId="9" fillId="4" borderId="16" xfId="0" applyFont="1" applyFill="1" applyBorder="1" applyProtection="1"/>
    <xf numFmtId="0" fontId="0" fillId="3" borderId="0" xfId="0" applyFill="1" applyProtection="1"/>
    <xf numFmtId="0" fontId="0" fillId="3" borderId="0" xfId="0" applyFill="1" applyBorder="1" applyProtection="1"/>
    <xf numFmtId="0" fontId="0" fillId="0" borderId="0" xfId="0" applyProtection="1"/>
    <xf numFmtId="0" fontId="0" fillId="3" borderId="0" xfId="0" applyFill="1" applyBorder="1" applyAlignment="1" applyProtection="1">
      <alignment horizontal="left"/>
    </xf>
    <xf numFmtId="0" fontId="0" fillId="0" borderId="17" xfId="0" applyFill="1" applyBorder="1" applyProtection="1"/>
    <xf numFmtId="0" fontId="0" fillId="3" borderId="18" xfId="0" applyFill="1" applyBorder="1" applyProtection="1"/>
    <xf numFmtId="0" fontId="0" fillId="3" borderId="19" xfId="0" applyFill="1" applyBorder="1" applyAlignment="1" applyProtection="1">
      <alignment horizontal="left"/>
    </xf>
    <xf numFmtId="0" fontId="0" fillId="0" borderId="20" xfId="0" applyFill="1" applyBorder="1" applyProtection="1"/>
    <xf numFmtId="0" fontId="0" fillId="4" borderId="21" xfId="0" applyFill="1" applyBorder="1" applyProtection="1"/>
    <xf numFmtId="0" fontId="0" fillId="4" borderId="22" xfId="0" applyFill="1" applyBorder="1" applyProtection="1"/>
    <xf numFmtId="0" fontId="0" fillId="3" borderId="21" xfId="0" applyFill="1" applyBorder="1" applyProtection="1"/>
    <xf numFmtId="0" fontId="0" fillId="3" borderId="17" xfId="0" applyFill="1" applyBorder="1" applyProtection="1"/>
    <xf numFmtId="0" fontId="0" fillId="3" borderId="20" xfId="0" applyFill="1" applyBorder="1" applyProtection="1"/>
    <xf numFmtId="0" fontId="8" fillId="3" borderId="23" xfId="0" applyFont="1" applyFill="1" applyBorder="1" applyAlignment="1" applyProtection="1">
      <alignment wrapText="1"/>
    </xf>
    <xf numFmtId="0" fontId="8" fillId="3" borderId="24" xfId="0" applyFont="1" applyFill="1" applyBorder="1" applyAlignment="1" applyProtection="1">
      <alignment horizontal="center" wrapText="1"/>
    </xf>
    <xf numFmtId="0" fontId="8" fillId="3" borderId="25" xfId="0" applyFont="1" applyFill="1" applyBorder="1" applyAlignment="1" applyProtection="1">
      <alignment horizontal="center" wrapText="1"/>
    </xf>
    <xf numFmtId="0" fontId="8" fillId="3" borderId="0" xfId="0" applyFont="1" applyFill="1" applyBorder="1" applyAlignment="1" applyProtection="1">
      <alignment horizontal="center" wrapText="1"/>
    </xf>
    <xf numFmtId="0" fontId="0" fillId="3" borderId="26" xfId="0" applyFill="1" applyBorder="1" applyProtection="1"/>
    <xf numFmtId="9" fontId="5" fillId="0" borderId="27" xfId="2" applyFont="1" applyFill="1" applyBorder="1" applyProtection="1"/>
    <xf numFmtId="2" fontId="0" fillId="3" borderId="0" xfId="0" applyNumberFormat="1" applyFill="1" applyBorder="1" applyProtection="1"/>
    <xf numFmtId="9" fontId="5" fillId="0" borderId="1" xfId="2" applyFont="1" applyFill="1" applyBorder="1" applyProtection="1"/>
    <xf numFmtId="9" fontId="5" fillId="0" borderId="28" xfId="2" applyFont="1" applyFill="1" applyBorder="1" applyProtection="1"/>
    <xf numFmtId="0" fontId="9" fillId="4" borderId="29" xfId="0" applyFont="1" applyFill="1" applyBorder="1" applyProtection="1"/>
    <xf numFmtId="0" fontId="0" fillId="4" borderId="30" xfId="0" applyFill="1" applyBorder="1" applyProtection="1"/>
    <xf numFmtId="0" fontId="0" fillId="4" borderId="31" xfId="0" applyFill="1" applyBorder="1" applyProtection="1"/>
    <xf numFmtId="0" fontId="8" fillId="3" borderId="32" xfId="0" applyFont="1" applyFill="1" applyBorder="1" applyAlignment="1" applyProtection="1">
      <alignment horizontal="center" wrapText="1"/>
    </xf>
    <xf numFmtId="0" fontId="4" fillId="3" borderId="26" xfId="0" applyFont="1" applyFill="1" applyBorder="1" applyProtection="1"/>
    <xf numFmtId="0" fontId="4" fillId="3" borderId="3" xfId="0" applyFont="1" applyFill="1" applyBorder="1" applyProtection="1"/>
    <xf numFmtId="0" fontId="9" fillId="4" borderId="33" xfId="0" applyFont="1" applyFill="1" applyBorder="1" applyProtection="1"/>
    <xf numFmtId="0" fontId="0" fillId="4" borderId="34" xfId="0" applyFill="1" applyBorder="1" applyProtection="1"/>
    <xf numFmtId="0" fontId="0" fillId="4" borderId="35" xfId="0" applyFill="1" applyBorder="1" applyProtection="1"/>
    <xf numFmtId="164" fontId="5" fillId="2" borderId="14" xfId="1" applyNumberFormat="1" applyFont="1" applyFill="1" applyBorder="1" applyProtection="1">
      <protection locked="0"/>
    </xf>
    <xf numFmtId="164" fontId="5" fillId="2" borderId="15" xfId="1" applyNumberFormat="1" applyFont="1" applyFill="1" applyBorder="1" applyProtection="1">
      <protection locked="0"/>
    </xf>
    <xf numFmtId="0" fontId="0" fillId="0" borderId="0" xfId="0"/>
    <xf numFmtId="0" fontId="7" fillId="4" borderId="34" xfId="0" applyFont="1" applyFill="1" applyBorder="1" applyAlignment="1">
      <alignment horizontal="right"/>
    </xf>
    <xf numFmtId="0" fontId="0" fillId="3" borderId="0" xfId="0" applyFill="1"/>
    <xf numFmtId="0" fontId="10" fillId="3" borderId="0" xfId="0" applyFont="1" applyFill="1"/>
    <xf numFmtId="0" fontId="0" fillId="3" borderId="0" xfId="0" applyFill="1" applyBorder="1"/>
    <xf numFmtId="43" fontId="5" fillId="3" borderId="0" xfId="1" applyFont="1" applyFill="1" applyBorder="1"/>
    <xf numFmtId="0" fontId="8" fillId="3" borderId="0" xfId="0" applyFont="1" applyFill="1" applyBorder="1" applyAlignment="1">
      <alignment horizontal="right"/>
    </xf>
    <xf numFmtId="0" fontId="8" fillId="3" borderId="0" xfId="0" applyFont="1" applyFill="1" applyBorder="1"/>
    <xf numFmtId="0" fontId="0" fillId="3" borderId="17" xfId="0" applyFont="1" applyFill="1" applyBorder="1"/>
    <xf numFmtId="0" fontId="0" fillId="3" borderId="18" xfId="0" applyFont="1" applyFill="1" applyBorder="1"/>
    <xf numFmtId="2" fontId="8" fillId="3" borderId="0" xfId="0" applyNumberFormat="1" applyFont="1" applyFill="1" applyBorder="1" applyAlignment="1">
      <alignment horizontal="right"/>
    </xf>
    <xf numFmtId="43" fontId="8" fillId="3" borderId="0" xfId="1" applyFont="1" applyFill="1" applyBorder="1" applyAlignment="1">
      <alignment horizontal="right"/>
    </xf>
    <xf numFmtId="2" fontId="0" fillId="3" borderId="36" xfId="0" applyNumberFormat="1" applyFill="1" applyBorder="1"/>
    <xf numFmtId="0" fontId="0" fillId="3" borderId="36" xfId="0" applyFill="1" applyBorder="1"/>
    <xf numFmtId="0" fontId="8" fillId="3" borderId="36" xfId="0" applyFont="1" applyFill="1" applyBorder="1" applyAlignment="1">
      <alignment horizontal="right"/>
    </xf>
    <xf numFmtId="43" fontId="5" fillId="3" borderId="36" xfId="1" applyFont="1" applyFill="1" applyBorder="1"/>
    <xf numFmtId="0" fontId="0" fillId="3" borderId="37" xfId="0" applyFill="1" applyBorder="1"/>
    <xf numFmtId="0" fontId="11" fillId="4" borderId="61" xfId="0" applyFont="1" applyFill="1" applyBorder="1"/>
    <xf numFmtId="0" fontId="12" fillId="3" borderId="31" xfId="0" applyFont="1" applyFill="1" applyBorder="1" applyAlignment="1">
      <alignment horizontal="right"/>
    </xf>
    <xf numFmtId="2" fontId="0" fillId="0" borderId="27" xfId="0" applyNumberFormat="1" applyFill="1" applyBorder="1" applyProtection="1"/>
    <xf numFmtId="0" fontId="7" fillId="4" borderId="34" xfId="0" applyFont="1" applyFill="1" applyBorder="1"/>
    <xf numFmtId="0" fontId="12" fillId="3" borderId="0" xfId="0" applyFont="1" applyFill="1" applyBorder="1" applyAlignment="1">
      <alignment horizontal="right"/>
    </xf>
    <xf numFmtId="164" fontId="5" fillId="3" borderId="38" xfId="1" applyNumberFormat="1" applyFont="1" applyFill="1" applyBorder="1"/>
    <xf numFmtId="0" fontId="0" fillId="0" borderId="0" xfId="0"/>
    <xf numFmtId="0" fontId="11" fillId="4" borderId="33" xfId="0" applyFont="1" applyFill="1" applyBorder="1"/>
    <xf numFmtId="0" fontId="6" fillId="4" borderId="34" xfId="0" applyFont="1" applyFill="1" applyBorder="1"/>
    <xf numFmtId="0" fontId="0" fillId="3" borderId="0" xfId="0" applyFill="1"/>
    <xf numFmtId="0" fontId="10" fillId="3" borderId="0" xfId="0" applyFont="1" applyFill="1"/>
    <xf numFmtId="0" fontId="0" fillId="3" borderId="21" xfId="0" applyFill="1" applyBorder="1"/>
    <xf numFmtId="0" fontId="8" fillId="3" borderId="16" xfId="0" applyFont="1" applyFill="1" applyBorder="1"/>
    <xf numFmtId="0" fontId="8" fillId="3" borderId="21" xfId="0" applyFont="1" applyFill="1" applyBorder="1" applyAlignment="1">
      <alignment horizontal="right"/>
    </xf>
    <xf numFmtId="0" fontId="0" fillId="3" borderId="18" xfId="0" applyFill="1" applyBorder="1"/>
    <xf numFmtId="0" fontId="0" fillId="3" borderId="0" xfId="0" applyFill="1" applyBorder="1"/>
    <xf numFmtId="2" fontId="0" fillId="3" borderId="17" xfId="0" applyNumberFormat="1" applyFont="1" applyFill="1" applyBorder="1"/>
    <xf numFmtId="2" fontId="0" fillId="3" borderId="0" xfId="0" applyNumberFormat="1" applyFill="1" applyBorder="1"/>
    <xf numFmtId="0" fontId="0" fillId="3" borderId="39" xfId="0" applyFill="1" applyBorder="1"/>
    <xf numFmtId="0" fontId="0" fillId="3" borderId="19" xfId="0" applyFill="1" applyBorder="1"/>
    <xf numFmtId="0" fontId="0" fillId="3" borderId="0" xfId="0" applyFill="1" applyAlignment="1">
      <alignment horizontal="right"/>
    </xf>
    <xf numFmtId="0" fontId="0" fillId="3" borderId="17" xfId="0" applyFill="1" applyBorder="1"/>
    <xf numFmtId="0" fontId="8" fillId="3" borderId="18" xfId="0" applyFont="1" applyFill="1" applyBorder="1"/>
    <xf numFmtId="0" fontId="8" fillId="3" borderId="0" xfId="0" applyFont="1" applyFill="1" applyBorder="1" applyAlignment="1">
      <alignment wrapText="1"/>
    </xf>
    <xf numFmtId="164" fontId="5" fillId="3" borderId="0" xfId="1" applyNumberFormat="1" applyFont="1" applyFill="1" applyBorder="1"/>
    <xf numFmtId="43" fontId="5" fillId="3" borderId="0" xfId="1" applyFont="1" applyFill="1" applyBorder="1"/>
    <xf numFmtId="43" fontId="5" fillId="3" borderId="17" xfId="1" applyFont="1" applyFill="1" applyBorder="1"/>
    <xf numFmtId="0" fontId="8" fillId="3" borderId="0" xfId="0" applyFont="1" applyFill="1" applyBorder="1" applyAlignment="1">
      <alignment horizontal="right"/>
    </xf>
    <xf numFmtId="43" fontId="8" fillId="3" borderId="17" xfId="1" applyFont="1" applyFill="1" applyBorder="1" applyAlignment="1">
      <alignment horizontal="right"/>
    </xf>
    <xf numFmtId="0" fontId="8" fillId="3" borderId="19" xfId="0" applyFont="1" applyFill="1" applyBorder="1" applyAlignment="1">
      <alignment horizontal="right"/>
    </xf>
    <xf numFmtId="43" fontId="8" fillId="3" borderId="20" xfId="1" applyFont="1" applyFill="1" applyBorder="1"/>
    <xf numFmtId="43" fontId="8" fillId="3" borderId="0" xfId="1" applyFont="1" applyFill="1" applyBorder="1"/>
    <xf numFmtId="43" fontId="8" fillId="3" borderId="20" xfId="1" applyFont="1" applyFill="1" applyBorder="1" applyAlignment="1">
      <alignment horizontal="right"/>
    </xf>
    <xf numFmtId="0" fontId="0" fillId="3" borderId="18" xfId="0" applyFill="1" applyBorder="1" applyAlignment="1" applyProtection="1">
      <alignment horizontal="left"/>
    </xf>
    <xf numFmtId="0" fontId="0" fillId="3" borderId="0" xfId="0" applyFill="1" applyBorder="1" applyAlignment="1" applyProtection="1">
      <alignment horizontal="left"/>
    </xf>
    <xf numFmtId="0" fontId="0" fillId="3" borderId="39" xfId="0" applyFill="1" applyBorder="1" applyAlignment="1" applyProtection="1">
      <alignment horizontal="left"/>
    </xf>
    <xf numFmtId="0" fontId="0" fillId="3" borderId="19" xfId="0" applyFill="1" applyBorder="1" applyAlignment="1" applyProtection="1">
      <alignment horizontal="left"/>
    </xf>
    <xf numFmtId="0" fontId="0" fillId="4" borderId="34" xfId="0" applyFill="1" applyBorder="1"/>
    <xf numFmtId="0" fontId="0" fillId="0" borderId="0" xfId="0" applyFill="1"/>
    <xf numFmtId="0" fontId="0" fillId="0" borderId="0" xfId="0" applyFill="1" applyBorder="1"/>
    <xf numFmtId="0" fontId="10" fillId="0" borderId="0" xfId="0" applyFont="1" applyFill="1"/>
    <xf numFmtId="0" fontId="0" fillId="0" borderId="0" xfId="0" applyFill="1" applyAlignment="1">
      <alignment horizontal="right"/>
    </xf>
    <xf numFmtId="0" fontId="0" fillId="0" borderId="39" xfId="0" applyFill="1" applyBorder="1"/>
    <xf numFmtId="0" fontId="11" fillId="4" borderId="62" xfId="0" applyFont="1" applyFill="1" applyBorder="1"/>
    <xf numFmtId="0" fontId="8" fillId="4" borderId="34" xfId="0" applyFont="1" applyFill="1" applyBorder="1"/>
    <xf numFmtId="0" fontId="0" fillId="0" borderId="0" xfId="0" applyBorder="1"/>
    <xf numFmtId="0" fontId="12" fillId="3" borderId="21" xfId="0" applyFont="1" applyFill="1" applyBorder="1" applyAlignment="1">
      <alignment horizontal="right"/>
    </xf>
    <xf numFmtId="0" fontId="12" fillId="3" borderId="22" xfId="0" applyFont="1" applyFill="1" applyBorder="1" applyAlignment="1">
      <alignment horizontal="right"/>
    </xf>
    <xf numFmtId="0" fontId="0" fillId="3" borderId="16" xfId="0" applyFill="1" applyBorder="1"/>
    <xf numFmtId="0" fontId="12" fillId="3" borderId="30" xfId="0" applyFont="1" applyFill="1" applyBorder="1" applyAlignment="1">
      <alignment horizontal="right"/>
    </xf>
    <xf numFmtId="1" fontId="0" fillId="3" borderId="36" xfId="0" applyNumberFormat="1" applyFill="1" applyBorder="1"/>
    <xf numFmtId="165" fontId="0" fillId="3" borderId="36" xfId="0" applyNumberFormat="1" applyFill="1" applyBorder="1"/>
    <xf numFmtId="0" fontId="0" fillId="3" borderId="64" xfId="0" applyFill="1" applyBorder="1"/>
    <xf numFmtId="0" fontId="12" fillId="3" borderId="36" xfId="0" applyFont="1" applyFill="1" applyBorder="1" applyAlignment="1">
      <alignment horizontal="right"/>
    </xf>
    <xf numFmtId="164" fontId="5" fillId="3" borderId="36" xfId="1" applyNumberFormat="1" applyFont="1" applyFill="1" applyBorder="1"/>
    <xf numFmtId="0" fontId="12" fillId="3" borderId="16" xfId="0" applyFont="1" applyFill="1" applyBorder="1"/>
    <xf numFmtId="0" fontId="12" fillId="3" borderId="18" xfId="0" applyFont="1" applyFill="1" applyBorder="1"/>
    <xf numFmtId="9" fontId="5" fillId="2" borderId="2" xfId="2" applyFont="1" applyFill="1" applyBorder="1" applyProtection="1">
      <protection locked="0"/>
    </xf>
    <xf numFmtId="9" fontId="5" fillId="3" borderId="0" xfId="2" applyFont="1" applyFill="1" applyBorder="1"/>
    <xf numFmtId="0" fontId="0" fillId="3" borderId="40" xfId="0" applyFill="1" applyBorder="1"/>
    <xf numFmtId="0" fontId="12" fillId="3" borderId="40" xfId="0" applyFont="1" applyFill="1" applyBorder="1" applyAlignment="1">
      <alignment horizontal="right"/>
    </xf>
    <xf numFmtId="164" fontId="8" fillId="3" borderId="19" xfId="0" applyNumberFormat="1" applyFont="1" applyFill="1" applyBorder="1" applyAlignment="1">
      <alignment horizontal="right"/>
    </xf>
    <xf numFmtId="0" fontId="0" fillId="2" borderId="4" xfId="0" applyFill="1" applyBorder="1" applyAlignment="1" applyProtection="1">
      <alignment horizontal="center"/>
      <protection locked="0"/>
    </xf>
    <xf numFmtId="9" fontId="5" fillId="2" borderId="2" xfId="2" applyFont="1" applyFill="1" applyBorder="1" applyAlignment="1" applyProtection="1">
      <alignment horizontal="center"/>
      <protection locked="0"/>
    </xf>
    <xf numFmtId="9" fontId="5" fillId="2" borderId="1" xfId="2" applyFont="1" applyFill="1" applyBorder="1" applyAlignment="1" applyProtection="1">
      <alignment horizontal="center"/>
    </xf>
    <xf numFmtId="164" fontId="5" fillId="2" borderId="41" xfId="1" applyNumberFormat="1" applyFont="1" applyFill="1" applyBorder="1" applyProtection="1">
      <protection locked="0"/>
    </xf>
    <xf numFmtId="9" fontId="5" fillId="3" borderId="17" xfId="2" applyFont="1" applyFill="1" applyBorder="1" applyAlignment="1" applyProtection="1">
      <alignment horizontal="center"/>
    </xf>
    <xf numFmtId="0" fontId="0" fillId="3" borderId="19" xfId="0" applyFill="1" applyBorder="1" applyProtection="1"/>
    <xf numFmtId="9" fontId="5" fillId="3" borderId="20" xfId="2" applyFont="1" applyFill="1" applyBorder="1" applyAlignment="1" applyProtection="1">
      <alignment horizontal="center"/>
    </xf>
    <xf numFmtId="0" fontId="12" fillId="3" borderId="0" xfId="0" applyFont="1" applyFill="1" applyBorder="1" applyAlignment="1">
      <alignment wrapText="1"/>
    </xf>
    <xf numFmtId="9" fontId="5" fillId="3" borderId="0" xfId="2" applyFont="1" applyFill="1" applyBorder="1" applyAlignment="1">
      <alignment wrapText="1"/>
    </xf>
    <xf numFmtId="2" fontId="0" fillId="3" borderId="12" xfId="0" applyNumberFormat="1" applyFill="1" applyBorder="1"/>
    <xf numFmtId="2" fontId="0" fillId="3" borderId="42" xfId="0" applyNumberFormat="1" applyFill="1" applyBorder="1"/>
    <xf numFmtId="2" fontId="7" fillId="4" borderId="65" xfId="0" applyNumberFormat="1" applyFont="1" applyFill="1" applyBorder="1" applyAlignment="1">
      <alignment horizontal="right"/>
    </xf>
    <xf numFmtId="2" fontId="0" fillId="3" borderId="43" xfId="0" applyNumberFormat="1" applyFont="1" applyFill="1" applyBorder="1"/>
    <xf numFmtId="43" fontId="5" fillId="3" borderId="0" xfId="1" applyNumberFormat="1" applyFont="1" applyFill="1" applyBorder="1"/>
    <xf numFmtId="0" fontId="0" fillId="0" borderId="19" xfId="0" applyBorder="1"/>
    <xf numFmtId="0" fontId="0" fillId="3" borderId="31" xfId="0" applyFill="1" applyBorder="1"/>
    <xf numFmtId="0" fontId="8" fillId="3" borderId="21" xfId="0" applyFont="1" applyFill="1" applyBorder="1" applyAlignment="1">
      <alignment horizontal="center" wrapText="1"/>
    </xf>
    <xf numFmtId="0" fontId="12" fillId="3" borderId="44" xfId="0" applyFont="1" applyFill="1" applyBorder="1" applyAlignment="1">
      <alignment horizontal="right"/>
    </xf>
    <xf numFmtId="43" fontId="8" fillId="3" borderId="17" xfId="1" applyNumberFormat="1" applyFont="1" applyFill="1" applyBorder="1" applyAlignment="1">
      <alignment horizontal="right"/>
    </xf>
    <xf numFmtId="0" fontId="10" fillId="3" borderId="0" xfId="0" applyFont="1" applyFill="1" applyAlignment="1">
      <alignment horizontal="right"/>
    </xf>
    <xf numFmtId="43" fontId="7" fillId="4" borderId="66" xfId="0" applyNumberFormat="1" applyFont="1" applyFill="1" applyBorder="1" applyAlignment="1">
      <alignment horizontal="right"/>
    </xf>
    <xf numFmtId="43" fontId="5" fillId="3" borderId="45" xfId="1" applyNumberFormat="1" applyFont="1" applyFill="1" applyBorder="1"/>
    <xf numFmtId="0" fontId="12" fillId="3" borderId="17" xfId="0" applyFont="1" applyFill="1" applyBorder="1" applyAlignment="1">
      <alignment horizontal="right"/>
    </xf>
    <xf numFmtId="0" fontId="12" fillId="3" borderId="0" xfId="0" applyFont="1" applyFill="1" applyBorder="1" applyAlignment="1">
      <alignment horizontal="right" wrapText="1"/>
    </xf>
    <xf numFmtId="164" fontId="8" fillId="3" borderId="0" xfId="0" applyNumberFormat="1" applyFont="1" applyFill="1" applyBorder="1" applyAlignment="1">
      <alignment horizontal="left"/>
    </xf>
    <xf numFmtId="9" fontId="5" fillId="2" borderId="2" xfId="2" applyFont="1" applyFill="1" applyBorder="1" applyAlignment="1" applyProtection="1">
      <alignment horizontal="center"/>
    </xf>
    <xf numFmtId="9" fontId="5" fillId="3" borderId="0" xfId="2" applyFont="1" applyFill="1" applyBorder="1" applyAlignment="1" applyProtection="1">
      <alignment horizontal="center"/>
    </xf>
    <xf numFmtId="164" fontId="5" fillId="2" borderId="46" xfId="1" applyNumberFormat="1" applyFont="1" applyFill="1" applyBorder="1" applyProtection="1">
      <protection locked="0"/>
    </xf>
    <xf numFmtId="43" fontId="12" fillId="3" borderId="22" xfId="1" applyFont="1" applyFill="1" applyBorder="1" applyAlignment="1">
      <alignment horizontal="right"/>
    </xf>
    <xf numFmtId="43" fontId="5" fillId="3" borderId="17" xfId="1" applyNumberFormat="1" applyFont="1" applyFill="1" applyBorder="1"/>
    <xf numFmtId="43" fontId="5" fillId="3" borderId="17" xfId="1" applyNumberFormat="1" applyFont="1" applyFill="1" applyBorder="1"/>
    <xf numFmtId="43" fontId="0" fillId="3" borderId="17" xfId="0" applyNumberFormat="1" applyFill="1" applyBorder="1"/>
    <xf numFmtId="43" fontId="8" fillId="3" borderId="17" xfId="1" applyNumberFormat="1" applyFont="1" applyFill="1" applyBorder="1"/>
    <xf numFmtId="43" fontId="8" fillId="3" borderId="0" xfId="1" applyNumberFormat="1" applyFont="1" applyFill="1" applyBorder="1"/>
    <xf numFmtId="43" fontId="8" fillId="3" borderId="20" xfId="1" applyNumberFormat="1" applyFont="1" applyFill="1" applyBorder="1" applyAlignment="1">
      <alignment horizontal="right"/>
    </xf>
    <xf numFmtId="164" fontId="5" fillId="3" borderId="40" xfId="1" applyNumberFormat="1" applyFont="1" applyFill="1" applyBorder="1"/>
    <xf numFmtId="164" fontId="5" fillId="3" borderId="40" xfId="1" applyNumberFormat="1" applyFont="1" applyFill="1" applyBorder="1"/>
    <xf numFmtId="164" fontId="8" fillId="3" borderId="40" xfId="1" applyNumberFormat="1" applyFont="1" applyFill="1" applyBorder="1"/>
    <xf numFmtId="164" fontId="8" fillId="3" borderId="40" xfId="1" applyNumberFormat="1" applyFont="1" applyFill="1" applyBorder="1" applyAlignment="1">
      <alignment horizontal="right"/>
    </xf>
    <xf numFmtId="43" fontId="5" fillId="3" borderId="40" xfId="1" applyFont="1" applyFill="1" applyBorder="1"/>
    <xf numFmtId="43" fontId="12" fillId="3" borderId="40" xfId="1" applyFont="1" applyFill="1" applyBorder="1" applyAlignment="1">
      <alignment horizontal="right"/>
    </xf>
    <xf numFmtId="164" fontId="8" fillId="3" borderId="47" xfId="1" applyNumberFormat="1" applyFont="1" applyFill="1" applyBorder="1" applyAlignment="1">
      <alignment horizontal="right"/>
    </xf>
    <xf numFmtId="0" fontId="0" fillId="3" borderId="36" xfId="0" applyFont="1" applyFill="1" applyBorder="1"/>
    <xf numFmtId="0" fontId="12" fillId="3" borderId="36" xfId="0" applyFont="1" applyFill="1" applyBorder="1" applyAlignment="1">
      <alignment horizontal="right" wrapText="1"/>
    </xf>
    <xf numFmtId="2" fontId="5" fillId="3" borderId="36" xfId="1" applyNumberFormat="1" applyFont="1" applyFill="1" applyBorder="1"/>
    <xf numFmtId="0" fontId="0" fillId="4" borderId="65" xfId="0" applyFill="1" applyBorder="1"/>
    <xf numFmtId="164" fontId="7" fillId="4" borderId="66" xfId="1" applyNumberFormat="1" applyFont="1" applyFill="1" applyBorder="1" applyAlignment="1">
      <alignment horizontal="right"/>
    </xf>
    <xf numFmtId="0" fontId="0" fillId="4" borderId="33" xfId="0" applyFill="1" applyBorder="1"/>
    <xf numFmtId="43" fontId="7" fillId="4" borderId="35" xfId="1" applyNumberFormat="1" applyFont="1" applyFill="1" applyBorder="1" applyAlignment="1">
      <alignment horizontal="right"/>
    </xf>
    <xf numFmtId="43" fontId="0" fillId="4" borderId="33" xfId="0" applyNumberFormat="1" applyFill="1" applyBorder="1"/>
    <xf numFmtId="0" fontId="7" fillId="4" borderId="67" xfId="0" applyFont="1" applyFill="1" applyBorder="1" applyAlignment="1">
      <alignment horizontal="center"/>
    </xf>
    <xf numFmtId="43" fontId="5" fillId="3" borderId="43" xfId="1" applyFont="1" applyFill="1" applyBorder="1"/>
    <xf numFmtId="43" fontId="5" fillId="3" borderId="0" xfId="1" applyFont="1" applyFill="1"/>
    <xf numFmtId="43" fontId="5" fillId="3" borderId="48" xfId="1" applyFont="1" applyFill="1" applyBorder="1"/>
    <xf numFmtId="164" fontId="5" fillId="3" borderId="0" xfId="1" applyNumberFormat="1" applyFont="1" applyFill="1" applyBorder="1"/>
    <xf numFmtId="0" fontId="8" fillId="3" borderId="0" xfId="0" applyFont="1" applyFill="1" applyAlignment="1">
      <alignment horizontal="right"/>
    </xf>
    <xf numFmtId="0" fontId="10" fillId="3" borderId="19" xfId="0" applyFont="1" applyFill="1" applyBorder="1" applyAlignment="1"/>
    <xf numFmtId="0" fontId="8" fillId="3" borderId="0" xfId="0" applyFont="1" applyFill="1" applyAlignment="1" applyProtection="1">
      <alignment wrapText="1"/>
    </xf>
    <xf numFmtId="0" fontId="2" fillId="3" borderId="0" xfId="0" applyFont="1" applyFill="1" applyBorder="1" applyAlignment="1" applyProtection="1"/>
    <xf numFmtId="0" fontId="8" fillId="3" borderId="31" xfId="0" applyFont="1" applyFill="1" applyBorder="1" applyAlignment="1">
      <alignment horizontal="right" wrapText="1"/>
    </xf>
    <xf numFmtId="0" fontId="8" fillId="3" borderId="21" xfId="0" applyFont="1" applyFill="1" applyBorder="1" applyAlignment="1">
      <alignment horizontal="right" wrapText="1"/>
    </xf>
    <xf numFmtId="2" fontId="7" fillId="4" borderId="68" xfId="0" applyNumberFormat="1" applyFont="1" applyFill="1" applyBorder="1" applyAlignment="1">
      <alignment horizontal="right"/>
    </xf>
    <xf numFmtId="0" fontId="0" fillId="5" borderId="0" xfId="0" applyFill="1" applyProtection="1"/>
    <xf numFmtId="0" fontId="0" fillId="5" borderId="0" xfId="0" applyFill="1"/>
    <xf numFmtId="0" fontId="0" fillId="5" borderId="0" xfId="0" applyFill="1" applyBorder="1"/>
    <xf numFmtId="0" fontId="13" fillId="5" borderId="0" xfId="0" applyFont="1" applyFill="1"/>
    <xf numFmtId="0" fontId="13" fillId="5" borderId="0" xfId="0" applyFont="1" applyFill="1" applyBorder="1"/>
    <xf numFmtId="0" fontId="14" fillId="5" borderId="0" xfId="0" applyFont="1" applyFill="1"/>
    <xf numFmtId="0" fontId="0" fillId="3" borderId="18" xfId="0" applyFill="1" applyBorder="1" applyAlignment="1" applyProtection="1">
      <alignment horizontal="left"/>
    </xf>
    <xf numFmtId="0" fontId="0" fillId="3" borderId="0" xfId="0" applyFill="1" applyBorder="1" applyAlignment="1" applyProtection="1">
      <alignment horizontal="left"/>
    </xf>
    <xf numFmtId="0" fontId="0" fillId="3" borderId="39" xfId="0" applyFill="1" applyBorder="1" applyAlignment="1" applyProtection="1">
      <alignment horizontal="left"/>
    </xf>
    <xf numFmtId="0" fontId="0" fillId="2" borderId="7" xfId="0" applyFill="1" applyBorder="1" applyAlignment="1" applyProtection="1">
      <alignment horizontal="center"/>
      <protection locked="0"/>
    </xf>
    <xf numFmtId="1" fontId="0" fillId="2" borderId="1" xfId="0" applyNumberFormat="1" applyFill="1" applyBorder="1" applyAlignment="1" applyProtection="1">
      <alignment horizontal="center"/>
      <protection locked="0"/>
    </xf>
    <xf numFmtId="1" fontId="0" fillId="2" borderId="2" xfId="0" applyNumberFormat="1" applyFill="1" applyBorder="1" applyAlignment="1" applyProtection="1">
      <alignment horizontal="center"/>
      <protection locked="0"/>
    </xf>
    <xf numFmtId="9" fontId="5" fillId="2" borderId="4" xfId="2" applyFont="1" applyFill="1" applyBorder="1" applyAlignment="1" applyProtection="1">
      <alignment horizontal="center"/>
    </xf>
    <xf numFmtId="0" fontId="8" fillId="3" borderId="23" xfId="0" applyFont="1" applyFill="1" applyBorder="1" applyAlignment="1" applyProtection="1">
      <alignment horizontal="center" wrapText="1"/>
    </xf>
    <xf numFmtId="0" fontId="15" fillId="3" borderId="0" xfId="0" applyFont="1" applyFill="1" applyProtection="1"/>
    <xf numFmtId="0" fontId="7" fillId="4" borderId="67" xfId="0" applyFont="1" applyFill="1" applyBorder="1" applyAlignment="1">
      <alignment horizontal="center" wrapText="1"/>
    </xf>
    <xf numFmtId="0" fontId="0" fillId="3" borderId="18" xfId="0" applyFill="1" applyBorder="1" applyAlignment="1" applyProtection="1">
      <alignment horizontal="left"/>
    </xf>
    <xf numFmtId="0" fontId="0" fillId="3" borderId="0" xfId="0" applyFill="1" applyBorder="1" applyAlignment="1" applyProtection="1">
      <alignment horizontal="left"/>
    </xf>
    <xf numFmtId="0" fontId="8" fillId="3" borderId="0" xfId="0" applyFont="1" applyFill="1" applyBorder="1" applyAlignment="1">
      <alignment horizontal="center" wrapText="1"/>
    </xf>
    <xf numFmtId="0" fontId="7" fillId="4" borderId="65" xfId="0" applyFont="1" applyFill="1" applyBorder="1" applyAlignment="1"/>
    <xf numFmtId="0" fontId="7" fillId="4" borderId="34" xfId="0" applyFont="1" applyFill="1" applyBorder="1" applyAlignment="1"/>
    <xf numFmtId="164" fontId="5" fillId="3" borderId="12" xfId="1" applyNumberFormat="1" applyFont="1" applyFill="1" applyBorder="1"/>
    <xf numFmtId="164" fontId="7" fillId="4" borderId="65" xfId="1" applyNumberFormat="1" applyFont="1" applyFill="1" applyBorder="1" applyAlignment="1">
      <alignment horizontal="right"/>
    </xf>
    <xf numFmtId="164" fontId="5" fillId="3" borderId="0" xfId="1" applyNumberFormat="1" applyFont="1" applyFill="1"/>
    <xf numFmtId="164" fontId="12" fillId="3" borderId="30" xfId="1" applyNumberFormat="1" applyFont="1" applyFill="1" applyBorder="1" applyAlignment="1">
      <alignment horizontal="right"/>
    </xf>
    <xf numFmtId="164" fontId="5" fillId="3" borderId="42" xfId="1" applyNumberFormat="1" applyFont="1" applyFill="1" applyBorder="1"/>
    <xf numFmtId="164" fontId="8" fillId="3" borderId="0" xfId="1" applyNumberFormat="1" applyFont="1" applyFill="1" applyBorder="1" applyAlignment="1">
      <alignment horizontal="right"/>
    </xf>
    <xf numFmtId="164" fontId="12" fillId="3" borderId="31" xfId="1" applyNumberFormat="1" applyFont="1" applyFill="1" applyBorder="1" applyAlignment="1">
      <alignment horizontal="right"/>
    </xf>
    <xf numFmtId="0" fontId="0" fillId="3" borderId="36" xfId="0" applyFont="1" applyFill="1" applyBorder="1" applyAlignment="1">
      <alignment horizontal="right"/>
    </xf>
    <xf numFmtId="0" fontId="0" fillId="3" borderId="0" xfId="0" applyFont="1" applyFill="1" applyBorder="1" applyAlignment="1">
      <alignment horizontal="right"/>
    </xf>
    <xf numFmtId="0" fontId="4" fillId="5" borderId="0" xfId="0" applyFont="1" applyFill="1"/>
    <xf numFmtId="0" fontId="4" fillId="5" borderId="0" xfId="0" applyFont="1" applyFill="1" applyBorder="1"/>
    <xf numFmtId="0" fontId="4" fillId="0" borderId="0" xfId="0" applyFont="1"/>
    <xf numFmtId="2" fontId="0" fillId="3" borderId="45" xfId="0" applyNumberFormat="1" applyFont="1" applyFill="1" applyBorder="1"/>
    <xf numFmtId="2" fontId="0" fillId="3" borderId="48" xfId="0" applyNumberFormat="1" applyFont="1" applyFill="1" applyBorder="1"/>
    <xf numFmtId="43" fontId="5" fillId="3" borderId="36" xfId="1" applyNumberFormat="1" applyFont="1" applyFill="1" applyBorder="1"/>
    <xf numFmtId="165" fontId="0" fillId="3" borderId="0" xfId="0" applyNumberFormat="1" applyFill="1" applyBorder="1"/>
    <xf numFmtId="0" fontId="7" fillId="4" borderId="69" xfId="0" applyFont="1" applyFill="1" applyBorder="1" applyAlignment="1">
      <alignment horizontal="center" wrapText="1"/>
    </xf>
    <xf numFmtId="164" fontId="12" fillId="3" borderId="44" xfId="1" applyNumberFormat="1" applyFont="1" applyFill="1" applyBorder="1" applyAlignment="1">
      <alignment horizontal="right"/>
    </xf>
    <xf numFmtId="164" fontId="5" fillId="3" borderId="48" xfId="1" applyNumberFormat="1" applyFont="1" applyFill="1" applyBorder="1"/>
    <xf numFmtId="164" fontId="12" fillId="3" borderId="48" xfId="1" applyNumberFormat="1" applyFont="1" applyFill="1" applyBorder="1" applyAlignment="1">
      <alignment horizontal="right"/>
    </xf>
    <xf numFmtId="164" fontId="5" fillId="3" borderId="43" xfId="1" applyNumberFormat="1" applyFont="1" applyFill="1" applyBorder="1"/>
    <xf numFmtId="164" fontId="8" fillId="3" borderId="49" xfId="1" applyNumberFormat="1" applyFont="1" applyFill="1" applyBorder="1" applyAlignment="1">
      <alignment horizontal="right"/>
    </xf>
    <xf numFmtId="164" fontId="5" fillId="3" borderId="17" xfId="1" applyNumberFormat="1" applyFont="1" applyFill="1" applyBorder="1"/>
    <xf numFmtId="164" fontId="8" fillId="3" borderId="28" xfId="1" applyNumberFormat="1" applyFont="1" applyFill="1" applyBorder="1" applyAlignment="1">
      <alignment horizontal="right"/>
    </xf>
    <xf numFmtId="164" fontId="7" fillId="4" borderId="68" xfId="1" applyNumberFormat="1" applyFont="1" applyFill="1" applyBorder="1" applyAlignment="1">
      <alignment horizontal="right"/>
    </xf>
    <xf numFmtId="0" fontId="12" fillId="3" borderId="40" xfId="0" applyFont="1" applyFill="1" applyBorder="1" applyAlignment="1">
      <alignment horizontal="right" wrapText="1"/>
    </xf>
    <xf numFmtId="164" fontId="12" fillId="3" borderId="7" xfId="1" applyNumberFormat="1" applyFont="1" applyFill="1" applyBorder="1" applyAlignment="1">
      <alignment horizontal="right"/>
    </xf>
    <xf numFmtId="164" fontId="12" fillId="3" borderId="50" xfId="1" applyNumberFormat="1" applyFont="1" applyFill="1" applyBorder="1" applyAlignment="1">
      <alignment horizontal="right"/>
    </xf>
    <xf numFmtId="43" fontId="12" fillId="3" borderId="7" xfId="1" applyFont="1" applyFill="1" applyBorder="1" applyAlignment="1">
      <alignment horizontal="right"/>
    </xf>
    <xf numFmtId="0" fontId="12" fillId="3" borderId="50" xfId="0" applyFont="1" applyFill="1" applyBorder="1" applyAlignment="1">
      <alignment horizontal="right"/>
    </xf>
    <xf numFmtId="0" fontId="12" fillId="3" borderId="7" xfId="0" applyFont="1" applyFill="1" applyBorder="1" applyAlignment="1">
      <alignment horizontal="right"/>
    </xf>
    <xf numFmtId="0" fontId="0" fillId="3" borderId="51" xfId="0" applyFill="1" applyBorder="1"/>
    <xf numFmtId="43" fontId="0" fillId="3" borderId="52" xfId="0" applyNumberFormat="1" applyFill="1" applyBorder="1"/>
    <xf numFmtId="0" fontId="0" fillId="3" borderId="4" xfId="0" applyFill="1" applyBorder="1"/>
    <xf numFmtId="43" fontId="8" fillId="3" borderId="17" xfId="1" applyFont="1" applyFill="1" applyBorder="1"/>
    <xf numFmtId="0" fontId="8" fillId="3" borderId="17" xfId="0" applyFont="1" applyFill="1" applyBorder="1" applyAlignment="1">
      <alignment horizontal="right"/>
    </xf>
    <xf numFmtId="164" fontId="5" fillId="3" borderId="53" xfId="1" applyNumberFormat="1" applyFont="1" applyFill="1" applyBorder="1"/>
    <xf numFmtId="2" fontId="0" fillId="3" borderId="4" xfId="0" applyNumberFormat="1" applyFill="1" applyBorder="1"/>
    <xf numFmtId="2" fontId="0" fillId="3" borderId="54" xfId="0" applyNumberFormat="1" applyFont="1" applyFill="1" applyBorder="1"/>
    <xf numFmtId="0" fontId="12" fillId="3" borderId="55" xfId="0" applyFont="1" applyFill="1" applyBorder="1" applyAlignment="1">
      <alignment horizontal="right"/>
    </xf>
    <xf numFmtId="0" fontId="12" fillId="3" borderId="56" xfId="0" applyFont="1" applyFill="1" applyBorder="1" applyAlignment="1">
      <alignment horizontal="right"/>
    </xf>
    <xf numFmtId="43" fontId="8" fillId="3" borderId="0" xfId="1" applyNumberFormat="1" applyFont="1" applyFill="1" applyBorder="1" applyAlignment="1">
      <alignment horizontal="right"/>
    </xf>
    <xf numFmtId="0" fontId="8" fillId="3" borderId="17" xfId="0" applyFont="1" applyFill="1" applyBorder="1"/>
    <xf numFmtId="164" fontId="12" fillId="3" borderId="57" xfId="1" applyNumberFormat="1" applyFont="1" applyFill="1" applyBorder="1" applyAlignment="1">
      <alignment horizontal="right"/>
    </xf>
    <xf numFmtId="0" fontId="12" fillId="3" borderId="57" xfId="0" applyFont="1" applyFill="1" applyBorder="1" applyAlignment="1">
      <alignment horizontal="right"/>
    </xf>
    <xf numFmtId="164" fontId="7" fillId="4" borderId="19" xfId="1" applyNumberFormat="1" applyFont="1" applyFill="1" applyBorder="1" applyAlignment="1">
      <alignment horizontal="right"/>
    </xf>
    <xf numFmtId="43" fontId="7" fillId="4" borderId="19" xfId="0" applyNumberFormat="1" applyFont="1" applyFill="1" applyBorder="1" applyAlignment="1">
      <alignment horizontal="right"/>
    </xf>
    <xf numFmtId="43" fontId="7" fillId="4" borderId="20" xfId="0" applyNumberFormat="1" applyFont="1" applyFill="1" applyBorder="1" applyAlignment="1">
      <alignment horizontal="right"/>
    </xf>
    <xf numFmtId="43" fontId="8" fillId="3" borderId="0" xfId="0" applyNumberFormat="1" applyFont="1" applyFill="1" applyBorder="1" applyAlignment="1">
      <alignment horizontal="right"/>
    </xf>
    <xf numFmtId="43" fontId="8" fillId="3" borderId="17" xfId="0" applyNumberFormat="1" applyFont="1" applyFill="1" applyBorder="1" applyAlignment="1">
      <alignment horizontal="right"/>
    </xf>
    <xf numFmtId="1" fontId="0" fillId="3" borderId="36" xfId="0" applyNumberFormat="1" applyFont="1" applyFill="1" applyBorder="1"/>
    <xf numFmtId="0" fontId="7" fillId="4" borderId="65" xfId="0" applyFont="1" applyFill="1" applyBorder="1" applyAlignment="1">
      <alignment horizontal="center" vertical="center" wrapText="1"/>
    </xf>
    <xf numFmtId="43" fontId="5" fillId="3" borderId="48" xfId="1" applyNumberFormat="1" applyFont="1" applyFill="1" applyBorder="1"/>
    <xf numFmtId="43" fontId="5" fillId="3" borderId="43" xfId="1" applyNumberFormat="1" applyFont="1" applyFill="1" applyBorder="1"/>
    <xf numFmtId="2" fontId="7" fillId="4" borderId="65" xfId="0" applyNumberFormat="1" applyFont="1" applyFill="1" applyBorder="1" applyAlignment="1"/>
    <xf numFmtId="2" fontId="0" fillId="3" borderId="0" xfId="0" applyNumberFormat="1" applyFill="1"/>
    <xf numFmtId="164" fontId="7" fillId="4" borderId="65" xfId="1" applyNumberFormat="1" applyFont="1" applyFill="1" applyBorder="1" applyAlignment="1"/>
    <xf numFmtId="164" fontId="5" fillId="3" borderId="58" xfId="1" applyNumberFormat="1" applyFont="1" applyFill="1" applyBorder="1"/>
    <xf numFmtId="43" fontId="0" fillId="3" borderId="36" xfId="0" applyNumberFormat="1" applyFill="1" applyBorder="1"/>
    <xf numFmtId="164" fontId="5" fillId="3" borderId="42" xfId="1" applyNumberFormat="1" applyFont="1" applyFill="1" applyBorder="1"/>
    <xf numFmtId="43" fontId="5" fillId="3" borderId="45" xfId="1" applyFont="1" applyFill="1" applyBorder="1"/>
    <xf numFmtId="0" fontId="11" fillId="4" borderId="34" xfId="0" applyFont="1" applyFill="1" applyBorder="1"/>
    <xf numFmtId="0" fontId="16" fillId="3" borderId="0" xfId="0" applyFont="1" applyFill="1" applyBorder="1"/>
    <xf numFmtId="0" fontId="16" fillId="3" borderId="40" xfId="0" applyFont="1" applyFill="1" applyBorder="1"/>
    <xf numFmtId="0" fontId="7" fillId="4" borderId="68" xfId="0" applyFont="1" applyFill="1" applyBorder="1" applyAlignment="1">
      <alignment horizontal="center" vertical="center" wrapText="1"/>
    </xf>
    <xf numFmtId="2" fontId="0" fillId="3" borderId="40" xfId="0" applyNumberFormat="1" applyFont="1" applyFill="1" applyBorder="1"/>
    <xf numFmtId="43" fontId="0" fillId="3" borderId="17" xfId="0" applyNumberFormat="1" applyFont="1" applyFill="1" applyBorder="1"/>
    <xf numFmtId="0" fontId="0" fillId="4" borderId="33" xfId="0" applyFill="1" applyBorder="1" applyAlignment="1">
      <alignment horizontal="right"/>
    </xf>
    <xf numFmtId="9" fontId="5" fillId="3" borderId="0" xfId="2" applyFont="1" applyFill="1" applyBorder="1" applyAlignment="1">
      <alignment horizontal="center"/>
    </xf>
    <xf numFmtId="9" fontId="5" fillId="3" borderId="0" xfId="2" applyFont="1" applyFill="1" applyBorder="1" applyAlignment="1">
      <alignment horizontal="center" wrapText="1"/>
    </xf>
    <xf numFmtId="164" fontId="8" fillId="3" borderId="0" xfId="0" applyNumberFormat="1" applyFont="1" applyFill="1" applyBorder="1" applyAlignment="1">
      <alignment horizontal="right"/>
    </xf>
    <xf numFmtId="0" fontId="12" fillId="3" borderId="0" xfId="0" applyFont="1" applyFill="1" applyBorder="1" applyAlignment="1">
      <alignment horizontal="center" wrapText="1"/>
    </xf>
    <xf numFmtId="43" fontId="12" fillId="3" borderId="50" xfId="1" applyFont="1" applyFill="1" applyBorder="1" applyAlignment="1">
      <alignment horizontal="right"/>
    </xf>
    <xf numFmtId="43" fontId="12" fillId="3" borderId="56" xfId="1" applyFont="1" applyFill="1" applyBorder="1" applyAlignment="1">
      <alignment horizontal="right"/>
    </xf>
    <xf numFmtId="43" fontId="5" fillId="3" borderId="42" xfId="1" applyFont="1" applyFill="1" applyBorder="1"/>
    <xf numFmtId="43" fontId="5" fillId="3" borderId="48" xfId="1" applyNumberFormat="1" applyFont="1" applyFill="1" applyBorder="1"/>
    <xf numFmtId="0" fontId="0" fillId="3" borderId="18" xfId="0" applyFill="1" applyBorder="1" applyAlignment="1" applyProtection="1">
      <alignment horizontal="left"/>
    </xf>
    <xf numFmtId="0" fontId="0" fillId="3" borderId="0" xfId="0" applyFill="1" applyBorder="1" applyAlignment="1" applyProtection="1">
      <alignment horizontal="left"/>
    </xf>
    <xf numFmtId="0" fontId="0" fillId="3" borderId="19" xfId="0" applyFill="1" applyBorder="1" applyAlignment="1" applyProtection="1">
      <alignment horizontal="left"/>
    </xf>
    <xf numFmtId="0" fontId="8" fillId="3" borderId="0" xfId="0" applyFont="1" applyFill="1" applyBorder="1" applyAlignment="1">
      <alignment horizontal="center" wrapText="1"/>
    </xf>
    <xf numFmtId="2" fontId="7" fillId="4" borderId="68" xfId="0" applyNumberFormat="1" applyFont="1" applyFill="1" applyBorder="1" applyAlignment="1"/>
    <xf numFmtId="0" fontId="6" fillId="4" borderId="34" xfId="0" applyFont="1" applyFill="1" applyBorder="1" applyProtection="1"/>
    <xf numFmtId="0" fontId="6" fillId="4" borderId="35" xfId="0" applyFont="1" applyFill="1" applyBorder="1" applyProtection="1"/>
    <xf numFmtId="164" fontId="7" fillId="4" borderId="65" xfId="1" applyNumberFormat="1" applyFont="1" applyFill="1" applyBorder="1" applyAlignment="1">
      <alignment horizontal="center"/>
    </xf>
    <xf numFmtId="43" fontId="7" fillId="4" borderId="68" xfId="1" applyFont="1" applyFill="1" applyBorder="1" applyAlignment="1">
      <alignment horizontal="right"/>
    </xf>
    <xf numFmtId="0" fontId="7" fillId="4" borderId="65" xfId="0" applyFont="1" applyFill="1" applyBorder="1" applyAlignment="1">
      <alignment horizontal="center" wrapText="1"/>
    </xf>
    <xf numFmtId="0" fontId="7" fillId="4" borderId="65" xfId="0" applyFont="1" applyFill="1" applyBorder="1" applyAlignment="1">
      <alignment horizontal="center"/>
    </xf>
    <xf numFmtId="0" fontId="7" fillId="4" borderId="68" xfId="0" applyFont="1" applyFill="1" applyBorder="1" applyAlignment="1">
      <alignment horizontal="center" wrapText="1"/>
    </xf>
    <xf numFmtId="43" fontId="7" fillId="4" borderId="35" xfId="0" applyNumberFormat="1" applyFont="1" applyFill="1" applyBorder="1" applyAlignment="1">
      <alignment horizontal="right"/>
    </xf>
    <xf numFmtId="0" fontId="0" fillId="6" borderId="0" xfId="0" applyFill="1"/>
    <xf numFmtId="0" fontId="0" fillId="6" borderId="0" xfId="0" applyFill="1" applyProtection="1"/>
    <xf numFmtId="0" fontId="13" fillId="6" borderId="0" xfId="0" applyFont="1" applyFill="1" applyProtection="1"/>
    <xf numFmtId="1" fontId="0" fillId="6" borderId="0" xfId="0" applyNumberFormat="1" applyFill="1" applyBorder="1" applyProtection="1"/>
    <xf numFmtId="0" fontId="8" fillId="6" borderId="0" xfId="0" applyFont="1" applyFill="1" applyBorder="1" applyAlignment="1">
      <alignment wrapText="1"/>
    </xf>
    <xf numFmtId="0" fontId="0" fillId="6" borderId="0" xfId="0" applyFill="1" applyBorder="1"/>
    <xf numFmtId="0" fontId="0" fillId="6" borderId="0" xfId="0" applyFill="1" applyBorder="1" applyProtection="1"/>
    <xf numFmtId="0" fontId="8" fillId="6" borderId="0" xfId="0" applyFont="1" applyFill="1" applyBorder="1" applyAlignment="1">
      <alignment horizontal="center" wrapText="1"/>
    </xf>
    <xf numFmtId="164" fontId="0" fillId="6" borderId="0" xfId="0" applyNumberFormat="1" applyFill="1" applyBorder="1"/>
    <xf numFmtId="0" fontId="8" fillId="6" borderId="0" xfId="0" applyFont="1" applyFill="1" applyBorder="1" applyProtection="1"/>
    <xf numFmtId="0" fontId="17" fillId="6" borderId="0" xfId="0" applyFont="1" applyFill="1" applyBorder="1" applyAlignment="1" applyProtection="1"/>
    <xf numFmtId="0" fontId="8" fillId="6" borderId="0" xfId="0" applyFont="1" applyFill="1" applyBorder="1" applyAlignment="1" applyProtection="1">
      <alignment horizontal="center"/>
    </xf>
    <xf numFmtId="2" fontId="0" fillId="6" borderId="0" xfId="0" applyNumberFormat="1" applyFill="1" applyBorder="1" applyAlignment="1" applyProtection="1">
      <alignment horizontal="center"/>
    </xf>
    <xf numFmtId="0" fontId="0" fillId="7" borderId="1" xfId="0" applyFill="1" applyBorder="1" applyAlignment="1" applyProtection="1">
      <alignment horizontal="center"/>
    </xf>
    <xf numFmtId="2" fontId="0" fillId="6" borderId="0" xfId="0" applyNumberFormat="1" applyFill="1" applyBorder="1" applyProtection="1">
      <protection locked="0"/>
    </xf>
    <xf numFmtId="0" fontId="0" fillId="6" borderId="0" xfId="0" applyFill="1" applyBorder="1" applyProtection="1">
      <protection locked="0"/>
    </xf>
    <xf numFmtId="164" fontId="5" fillId="6" borderId="0" xfId="1" applyNumberFormat="1" applyFont="1" applyFill="1" applyBorder="1"/>
    <xf numFmtId="0" fontId="2" fillId="6" borderId="0" xfId="0" applyFont="1" applyFill="1" applyBorder="1" applyAlignment="1" applyProtection="1"/>
    <xf numFmtId="0" fontId="8" fillId="6" borderId="0" xfId="0" applyFont="1" applyFill="1" applyBorder="1" applyAlignment="1" applyProtection="1">
      <alignment horizontal="right" wrapText="1"/>
    </xf>
    <xf numFmtId="0" fontId="17" fillId="6" borderId="18" xfId="0" applyFont="1" applyFill="1" applyBorder="1" applyAlignment="1" applyProtection="1"/>
    <xf numFmtId="0" fontId="13" fillId="6" borderId="0" xfId="0" applyFont="1" applyFill="1"/>
    <xf numFmtId="0" fontId="4" fillId="6" borderId="0" xfId="0" applyFont="1" applyFill="1"/>
    <xf numFmtId="0" fontId="13" fillId="6" borderId="0" xfId="0" applyFont="1" applyFill="1" applyBorder="1"/>
    <xf numFmtId="0" fontId="4" fillId="6" borderId="0" xfId="0" applyFont="1" applyFill="1" applyBorder="1"/>
    <xf numFmtId="0" fontId="14" fillId="6" borderId="0" xfId="0" applyFont="1" applyFill="1"/>
    <xf numFmtId="0" fontId="8" fillId="6" borderId="0" xfId="0" applyFont="1" applyFill="1" applyBorder="1"/>
    <xf numFmtId="0" fontId="14" fillId="6" borderId="0" xfId="0" applyFont="1" applyFill="1" applyBorder="1" applyAlignment="1">
      <alignment wrapText="1"/>
    </xf>
    <xf numFmtId="164" fontId="13" fillId="6" borderId="0" xfId="0" applyNumberFormat="1" applyFont="1" applyFill="1"/>
    <xf numFmtId="0" fontId="8" fillId="6" borderId="0" xfId="0" applyFont="1" applyFill="1"/>
    <xf numFmtId="0" fontId="0" fillId="6" borderId="0" xfId="0" applyFont="1" applyFill="1" applyBorder="1"/>
    <xf numFmtId="0" fontId="18" fillId="6" borderId="0" xfId="0" applyFont="1" applyFill="1"/>
    <xf numFmtId="0" fontId="0" fillId="6" borderId="71" xfId="0" applyFill="1" applyBorder="1"/>
    <xf numFmtId="0" fontId="13" fillId="6" borderId="72" xfId="0" applyFont="1" applyFill="1" applyBorder="1"/>
    <xf numFmtId="43" fontId="0" fillId="6" borderId="0" xfId="0" applyNumberFormat="1" applyFill="1"/>
    <xf numFmtId="0" fontId="19" fillId="3" borderId="0" xfId="0" applyFont="1" applyFill="1" applyBorder="1" applyAlignment="1">
      <alignment horizontal="right"/>
    </xf>
    <xf numFmtId="43" fontId="8" fillId="3" borderId="58" xfId="0" applyNumberFormat="1" applyFont="1" applyFill="1" applyBorder="1" applyAlignment="1">
      <alignment horizontal="right"/>
    </xf>
    <xf numFmtId="0" fontId="18" fillId="6" borderId="0" xfId="0" applyFont="1" applyFill="1" applyBorder="1" applyProtection="1"/>
    <xf numFmtId="0" fontId="0" fillId="2" borderId="15" xfId="0" applyFill="1" applyBorder="1" applyAlignment="1" applyProtection="1">
      <alignment horizontal="center"/>
      <protection locked="0"/>
    </xf>
    <xf numFmtId="1" fontId="5" fillId="2" borderId="15" xfId="2" applyNumberFormat="1" applyFont="1" applyFill="1" applyBorder="1" applyAlignment="1" applyProtection="1">
      <alignment horizontal="center"/>
      <protection locked="0"/>
    </xf>
    <xf numFmtId="0" fontId="0" fillId="7" borderId="15" xfId="0" applyFill="1" applyBorder="1" applyAlignment="1" applyProtection="1">
      <alignment horizontal="center"/>
    </xf>
    <xf numFmtId="9" fontId="5" fillId="2" borderId="15" xfId="2" applyFont="1" applyFill="1" applyBorder="1" applyAlignment="1" applyProtection="1">
      <alignment horizontal="center"/>
      <protection locked="0"/>
    </xf>
    <xf numFmtId="2" fontId="0" fillId="2" borderId="59" xfId="0" applyNumberFormat="1" applyFill="1" applyBorder="1" applyAlignment="1" applyProtection="1">
      <alignment horizontal="center"/>
      <protection locked="0"/>
    </xf>
    <xf numFmtId="0" fontId="0" fillId="3" borderId="40" xfId="0" applyFill="1" applyBorder="1" applyProtection="1"/>
    <xf numFmtId="0" fontId="0" fillId="3" borderId="47" xfId="0" applyFill="1" applyBorder="1" applyProtection="1"/>
    <xf numFmtId="0" fontId="0" fillId="2" borderId="14" xfId="0" applyFill="1" applyBorder="1" applyAlignment="1" applyProtection="1">
      <alignment horizontal="center"/>
      <protection locked="0"/>
    </xf>
    <xf numFmtId="0" fontId="9" fillId="4" borderId="60" xfId="0" applyFont="1" applyFill="1" applyBorder="1" applyProtection="1"/>
    <xf numFmtId="0" fontId="0" fillId="3" borderId="18" xfId="0" applyFill="1" applyBorder="1" applyAlignment="1" applyProtection="1">
      <alignment horizontal="left" vertical="center"/>
    </xf>
    <xf numFmtId="0" fontId="10" fillId="0" borderId="0" xfId="0" applyFont="1" applyFill="1" applyAlignment="1">
      <alignment vertical="center"/>
    </xf>
    <xf numFmtId="0" fontId="10" fillId="3" borderId="19" xfId="0" applyFont="1" applyFill="1" applyBorder="1" applyAlignment="1">
      <alignment vertical="center"/>
    </xf>
    <xf numFmtId="0" fontId="0" fillId="8" borderId="73" xfId="0" applyFill="1" applyBorder="1" applyProtection="1">
      <protection locked="0"/>
    </xf>
    <xf numFmtId="0" fontId="20" fillId="6" borderId="0" xfId="0" applyFont="1" applyFill="1" applyBorder="1"/>
    <xf numFmtId="0" fontId="0" fillId="8" borderId="74" xfId="0" applyFill="1" applyBorder="1" applyProtection="1">
      <protection locked="0"/>
    </xf>
    <xf numFmtId="0" fontId="0" fillId="8" borderId="75" xfId="0" applyFill="1" applyBorder="1" applyProtection="1">
      <protection locked="0"/>
    </xf>
    <xf numFmtId="0" fontId="0" fillId="2" borderId="63" xfId="0" applyFill="1" applyBorder="1" applyProtection="1">
      <protection locked="0"/>
    </xf>
    <xf numFmtId="0" fontId="0" fillId="7" borderId="5" xfId="0" applyFill="1" applyBorder="1" applyAlignment="1" applyProtection="1">
      <alignment horizontal="left"/>
      <protection locked="0"/>
    </xf>
    <xf numFmtId="0" fontId="0" fillId="7" borderId="1" xfId="0" applyFill="1" applyBorder="1" applyAlignment="1" applyProtection="1">
      <alignment horizontal="center"/>
      <protection locked="0"/>
    </xf>
    <xf numFmtId="0" fontId="0" fillId="7" borderId="1" xfId="0" applyFill="1" applyBorder="1" applyAlignment="1" applyProtection="1">
      <alignment horizontal="left"/>
      <protection locked="0"/>
    </xf>
    <xf numFmtId="0" fontId="0" fillId="8" borderId="63" xfId="0" applyFill="1" applyBorder="1" applyAlignment="1" applyProtection="1">
      <alignment horizontal="center"/>
      <protection locked="0"/>
    </xf>
    <xf numFmtId="0" fontId="0" fillId="2" borderId="63" xfId="0" applyFill="1" applyBorder="1" applyAlignment="1" applyProtection="1">
      <alignment horizontal="right"/>
      <protection locked="0"/>
    </xf>
    <xf numFmtId="0" fontId="0" fillId="2" borderId="70" xfId="0" applyFill="1" applyBorder="1" applyAlignment="1" applyProtection="1">
      <alignment horizontal="right"/>
      <protection locked="0"/>
    </xf>
    <xf numFmtId="0" fontId="0" fillId="8" borderId="70" xfId="0" applyFill="1" applyBorder="1" applyAlignment="1" applyProtection="1">
      <alignment horizontal="center"/>
      <protection locked="0"/>
    </xf>
    <xf numFmtId="0" fontId="0" fillId="3" borderId="18" xfId="0" applyFill="1" applyBorder="1" applyAlignment="1" applyProtection="1">
      <alignment horizontal="left"/>
    </xf>
    <xf numFmtId="0" fontId="0" fillId="3" borderId="0" xfId="0" applyFill="1" applyBorder="1" applyAlignment="1" applyProtection="1">
      <alignment horizontal="left"/>
    </xf>
    <xf numFmtId="0" fontId="0" fillId="3" borderId="39" xfId="0" applyFill="1" applyBorder="1" applyAlignment="1" applyProtection="1">
      <alignment horizontal="left"/>
    </xf>
    <xf numFmtId="0" fontId="0" fillId="3" borderId="19" xfId="0" applyFill="1" applyBorder="1" applyAlignment="1" applyProtection="1">
      <alignment horizontal="left"/>
    </xf>
    <xf numFmtId="0" fontId="0" fillId="3" borderId="16" xfId="0" applyFill="1" applyBorder="1" applyAlignment="1" applyProtection="1">
      <alignment horizontal="left"/>
    </xf>
    <xf numFmtId="0" fontId="0" fillId="3" borderId="21" xfId="0" applyFill="1" applyBorder="1" applyAlignment="1" applyProtection="1">
      <alignment horizontal="left"/>
    </xf>
    <xf numFmtId="0" fontId="21" fillId="3" borderId="0" xfId="0" applyFont="1" applyFill="1" applyBorder="1" applyAlignment="1" applyProtection="1">
      <alignment horizontal="left" wrapText="1"/>
    </xf>
    <xf numFmtId="0" fontId="21" fillId="3" borderId="40" xfId="0" applyFont="1" applyFill="1" applyBorder="1" applyAlignment="1" applyProtection="1">
      <alignment horizontal="left" wrapText="1"/>
    </xf>
    <xf numFmtId="2" fontId="0" fillId="3" borderId="76" xfId="0" applyNumberFormat="1" applyFill="1" applyBorder="1" applyAlignment="1">
      <alignment horizontal="center"/>
    </xf>
    <xf numFmtId="2" fontId="0" fillId="3" borderId="0" xfId="0" applyNumberFormat="1" applyFill="1" applyBorder="1" applyAlignment="1">
      <alignment horizontal="center"/>
    </xf>
    <xf numFmtId="0" fontId="0" fillId="3" borderId="36" xfId="0" applyFill="1" applyBorder="1" applyAlignment="1">
      <alignment horizontal="center"/>
    </xf>
    <xf numFmtId="0" fontId="0" fillId="3" borderId="0" xfId="0" applyFill="1" applyBorder="1" applyAlignment="1">
      <alignment horizontal="center"/>
    </xf>
    <xf numFmtId="0" fontId="8" fillId="6" borderId="0" xfId="0" applyFont="1" applyFill="1" applyBorder="1" applyAlignment="1">
      <alignment horizontal="center" wrapText="1"/>
    </xf>
    <xf numFmtId="0" fontId="8" fillId="3" borderId="36" xfId="0" applyFont="1" applyFill="1" applyBorder="1" applyAlignment="1">
      <alignment horizontal="center" wrapText="1"/>
    </xf>
    <xf numFmtId="0" fontId="8" fillId="3" borderId="77" xfId="0" applyFont="1" applyFill="1" applyBorder="1" applyAlignment="1">
      <alignment horizontal="center" wrapText="1"/>
    </xf>
    <xf numFmtId="0" fontId="8" fillId="3" borderId="0" xfId="0" applyFont="1" applyFill="1" applyBorder="1" applyAlignment="1">
      <alignment horizontal="center" wrapText="1"/>
    </xf>
    <xf numFmtId="0" fontId="12" fillId="3" borderId="0" xfId="0" applyFont="1" applyFill="1" applyBorder="1" applyAlignment="1">
      <alignment horizontal="center"/>
    </xf>
    <xf numFmtId="0" fontId="12" fillId="3" borderId="40" xfId="0" applyFont="1" applyFill="1" applyBorder="1" applyAlignment="1">
      <alignment horizontal="center"/>
    </xf>
    <xf numFmtId="0" fontId="10" fillId="3" borderId="19" xfId="0" applyFont="1" applyFill="1" applyBorder="1" applyAlignment="1">
      <alignment horizontal="center"/>
    </xf>
    <xf numFmtId="0" fontId="12" fillId="3" borderId="36" xfId="0" applyFont="1" applyFill="1" applyBorder="1" applyAlignment="1">
      <alignment horizontal="center" wrapText="1"/>
    </xf>
  </cellXfs>
  <cellStyles count="3">
    <cellStyle name="Comma" xfId="1" builtinId="3"/>
    <cellStyle name="Normal" xfId="0" builtinId="0"/>
    <cellStyle name="Per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14827</xdr:rowOff>
    </xdr:from>
    <xdr:ext cx="9544050" cy="1994948"/>
    <xdr:sp macro="" textlink="">
      <xdr:nvSpPr>
        <xdr:cNvPr id="2" name="Rectangle 1"/>
        <xdr:cNvSpPr/>
      </xdr:nvSpPr>
      <xdr:spPr>
        <a:xfrm>
          <a:off x="0" y="176752"/>
          <a:ext cx="9544050" cy="1994948"/>
        </a:xfrm>
        <a:prstGeom prst="rect">
          <a:avLst/>
        </a:prstGeom>
        <a:noFill/>
      </xdr:spPr>
      <xdr:txBody>
        <a:bodyPr wrap="square" lIns="91440" tIns="45720" rIns="91440" bIns="45720">
          <a:noAutofit/>
        </a:bodyPr>
        <a:lstStyle/>
        <a:p>
          <a:pPr algn="ctr"/>
          <a:r>
            <a:rPr lang="en-US" sz="6600" b="1" cap="none" spc="0">
              <a:ln w="18000">
                <a:solidFill>
                  <a:schemeClr val="tx1"/>
                </a:solidFill>
                <a:prstDash val="solid"/>
                <a:miter lim="800000"/>
              </a:ln>
              <a:solidFill>
                <a:srgbClr val="FF0000"/>
              </a:solidFill>
              <a:effectLst>
                <a:outerShdw blurRad="25500" dist="23000" dir="7020000" algn="tl">
                  <a:srgbClr val="000000">
                    <a:alpha val="50000"/>
                  </a:srgbClr>
                </a:outerShdw>
              </a:effectLst>
            </a:rPr>
            <a:t>Sheep Budget</a:t>
          </a:r>
        </a:p>
        <a:p>
          <a:pPr algn="ctr"/>
          <a:r>
            <a:rPr lang="en-US" sz="6600" b="1" cap="none" spc="0">
              <a:ln w="18000">
                <a:solidFill>
                  <a:schemeClr val="tx1"/>
                </a:solidFill>
                <a:prstDash val="solid"/>
                <a:miter lim="800000"/>
              </a:ln>
              <a:solidFill>
                <a:srgbClr val="FF0000"/>
              </a:solidFill>
              <a:effectLst>
                <a:outerShdw blurRad="25500" dist="23000" dir="7020000" algn="tl">
                  <a:srgbClr val="000000">
                    <a:alpha val="50000"/>
                  </a:srgbClr>
                </a:outerShdw>
              </a:effectLst>
            </a:rPr>
            <a:t>Worksheet</a:t>
          </a:r>
        </a:p>
      </xdr:txBody>
    </xdr:sp>
    <xdr:clientData/>
  </xdr:oneCellAnchor>
  <xdr:oneCellAnchor>
    <xdr:from>
      <xdr:col>0</xdr:col>
      <xdr:colOff>9526</xdr:colOff>
      <xdr:row>15</xdr:row>
      <xdr:rowOff>24352</xdr:rowOff>
    </xdr:from>
    <xdr:ext cx="9391650" cy="2221249"/>
    <xdr:sp macro="" textlink="">
      <xdr:nvSpPr>
        <xdr:cNvPr id="3" name="Rectangle 2"/>
        <xdr:cNvSpPr/>
      </xdr:nvSpPr>
      <xdr:spPr>
        <a:xfrm>
          <a:off x="9526" y="2453227"/>
          <a:ext cx="9391650" cy="2221249"/>
        </a:xfrm>
        <a:prstGeom prst="rect">
          <a:avLst/>
        </a:prstGeom>
        <a:noFill/>
      </xdr:spPr>
      <xdr:txBody>
        <a:bodyPr wrap="square" lIns="91440" tIns="45720" rIns="91440" bIns="45720">
          <a:noAutofit/>
        </a:bodyPr>
        <a:lstStyle/>
        <a:p>
          <a:pPr algn="ctr"/>
          <a:r>
            <a:rPr lang="en-US" sz="40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by</a:t>
          </a:r>
        </a:p>
        <a:p>
          <a:pPr algn="ctr"/>
          <a:r>
            <a:rPr lang="en-US" sz="40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Roger Wilson</a:t>
          </a:r>
        </a:p>
        <a:p>
          <a:pPr algn="ctr"/>
          <a:r>
            <a:rPr lang="en-US" sz="2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Farm Managerment / Enterprise Budget Analyst</a:t>
          </a:r>
        </a:p>
        <a:p>
          <a:pPr algn="ctr"/>
          <a:r>
            <a:rPr lang="en-US" sz="2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rwilson6@unl.edu</a:t>
          </a:r>
        </a:p>
      </xdr:txBody>
    </xdr:sp>
    <xdr:clientData/>
  </xdr:oneCellAnchor>
  <xdr:twoCellAnchor>
    <xdr:from>
      <xdr:col>0</xdr:col>
      <xdr:colOff>504824</xdr:colOff>
      <xdr:row>31</xdr:row>
      <xdr:rowOff>28575</xdr:rowOff>
    </xdr:from>
    <xdr:to>
      <xdr:col>15</xdr:col>
      <xdr:colOff>238125</xdr:colOff>
      <xdr:row>42</xdr:row>
      <xdr:rowOff>66675</xdr:rowOff>
    </xdr:to>
    <xdr:sp macro="" textlink="">
      <xdr:nvSpPr>
        <xdr:cNvPr id="5" name="Rounded Rectangle 4"/>
        <xdr:cNvSpPr/>
      </xdr:nvSpPr>
      <xdr:spPr>
        <a:xfrm>
          <a:off x="504824" y="5048250"/>
          <a:ext cx="8877301" cy="18192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en-US" sz="1600" b="1">
              <a:solidFill>
                <a:srgbClr val="FFFF00"/>
              </a:solidFill>
            </a:rPr>
            <a:t>This budgeting workbook is designed for the small producer</a:t>
          </a:r>
          <a:r>
            <a:rPr lang="en-US" sz="1600" b="1" baseline="0">
              <a:solidFill>
                <a:srgbClr val="FFFF00"/>
              </a:solidFill>
            </a:rPr>
            <a:t> and</a:t>
          </a:r>
          <a:r>
            <a:rPr lang="en-US" sz="1600" b="1">
              <a:solidFill>
                <a:srgbClr val="FFFF00"/>
              </a:solidFill>
            </a:rPr>
            <a:t> assumes that ewes will lamb once per year</a:t>
          </a:r>
          <a:r>
            <a:rPr lang="en-US" sz="1600" b="1" baseline="0">
              <a:solidFill>
                <a:srgbClr val="FFFF00"/>
              </a:solidFill>
            </a:rPr>
            <a:t>.  It includes spreadsheets for the breeding flock, rams, replacement ewes,  and finishing lambs. Output from the "Ram" and "Replacement" spreadsheets feed into the "Flock "spreadsheet. The "Flock" and "Finish Lambs" spreadsheets work together but can be used seperately. If they are used together, the lambs from the flock automatically move into the "Finish Lambs" spreadsheet. Their results are combined in the Farm Flock to Finish spreasheet.  All inputs except feed amounts are entered in the "Inputs" spreadsheet.</a:t>
          </a:r>
          <a:endParaRPr lang="en-US" sz="1600" b="1">
            <a:solidFill>
              <a:srgbClr val="FFFF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47625</xdr:colOff>
      <xdr:row>0</xdr:row>
      <xdr:rowOff>9525</xdr:rowOff>
    </xdr:from>
    <xdr:to>
      <xdr:col>13</xdr:col>
      <xdr:colOff>485775</xdr:colOff>
      <xdr:row>2</xdr:row>
      <xdr:rowOff>19050</xdr:rowOff>
    </xdr:to>
    <xdr:sp macro="" textlink="">
      <xdr:nvSpPr>
        <xdr:cNvPr id="2" name="Rounded Rectangular Callout 1"/>
        <xdr:cNvSpPr/>
      </xdr:nvSpPr>
      <xdr:spPr>
        <a:xfrm>
          <a:off x="7391400" y="9525"/>
          <a:ext cx="2943225" cy="638175"/>
        </a:xfrm>
        <a:prstGeom prst="wedgeRoundRectCallout">
          <a:avLst>
            <a:gd name="adj1" fmla="val -99240"/>
            <a:gd name="adj2" fmla="val 5152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000">
              <a:solidFill>
                <a:srgbClr val="FFFF00"/>
              </a:solidFill>
            </a:rPr>
            <a:t>Enter</a:t>
          </a:r>
          <a:r>
            <a:rPr lang="en-US" sz="2000" baseline="0">
              <a:solidFill>
                <a:srgbClr val="FFFF00"/>
              </a:solidFill>
            </a:rPr>
            <a:t> Data into cells with yellow background..</a:t>
          </a:r>
          <a:endParaRPr lang="en-US" sz="2000">
            <a:solidFill>
              <a:srgbClr val="FFFF00"/>
            </a:solidFill>
          </a:endParaRPr>
        </a:p>
      </xdr:txBody>
    </xdr:sp>
    <xdr:clientData/>
  </xdr:twoCellAnchor>
  <xdr:twoCellAnchor>
    <xdr:from>
      <xdr:col>8</xdr:col>
      <xdr:colOff>19050</xdr:colOff>
      <xdr:row>3</xdr:row>
      <xdr:rowOff>152399</xdr:rowOff>
    </xdr:from>
    <xdr:to>
      <xdr:col>13</xdr:col>
      <xdr:colOff>552450</xdr:colOff>
      <xdr:row>11</xdr:row>
      <xdr:rowOff>38100</xdr:rowOff>
    </xdr:to>
    <xdr:sp macro="" textlink="">
      <xdr:nvSpPr>
        <xdr:cNvPr id="4" name="Rounded Rectangular Callout 3"/>
        <xdr:cNvSpPr/>
      </xdr:nvSpPr>
      <xdr:spPr>
        <a:xfrm>
          <a:off x="7362825" y="942974"/>
          <a:ext cx="3038475" cy="1504951"/>
        </a:xfrm>
        <a:prstGeom prst="wedgeRoundRectCallout">
          <a:avLst>
            <a:gd name="adj1" fmla="val -94418"/>
            <a:gd name="adj2" fmla="val -2857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000">
              <a:solidFill>
                <a:srgbClr val="FFFF00"/>
              </a:solidFill>
            </a:rPr>
            <a:t>Cells with a blue background use dropdown menus to enter data</a:t>
          </a:r>
        </a:p>
        <a:p>
          <a:pPr algn="ctr"/>
          <a:endParaRPr lang="en-US" sz="2000">
            <a:solidFill>
              <a:srgbClr val="FFFF00"/>
            </a:solidFill>
          </a:endParaRPr>
        </a:p>
      </xdr:txBody>
    </xdr:sp>
    <xdr:clientData/>
  </xdr:twoCellAnchor>
  <xdr:twoCellAnchor>
    <xdr:from>
      <xdr:col>8</xdr:col>
      <xdr:colOff>247650</xdr:colOff>
      <xdr:row>31</xdr:row>
      <xdr:rowOff>47626</xdr:rowOff>
    </xdr:from>
    <xdr:to>
      <xdr:col>13</xdr:col>
      <xdr:colOff>457200</xdr:colOff>
      <xdr:row>39</xdr:row>
      <xdr:rowOff>9525</xdr:rowOff>
    </xdr:to>
    <xdr:sp macro="" textlink="">
      <xdr:nvSpPr>
        <xdr:cNvPr id="6" name="Rounded Rectangular Callout 5"/>
        <xdr:cNvSpPr/>
      </xdr:nvSpPr>
      <xdr:spPr>
        <a:xfrm>
          <a:off x="7591425" y="6372226"/>
          <a:ext cx="2714625" cy="1266824"/>
        </a:xfrm>
        <a:prstGeom prst="wedgeRoundRectCallout">
          <a:avLst>
            <a:gd name="adj1" fmla="val -83056"/>
            <a:gd name="adj2" fmla="val -2426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000">
              <a:solidFill>
                <a:srgbClr val="FFFF00"/>
              </a:solidFill>
            </a:rPr>
            <a:t>Cells with a white background contain formulas</a:t>
          </a:r>
        </a:p>
        <a:p>
          <a:pPr algn="ctr"/>
          <a:endParaRPr lang="en-US" sz="2000">
            <a:solidFill>
              <a:srgbClr val="FFFF00"/>
            </a:solidFill>
          </a:endParaRPr>
        </a:p>
      </xdr:txBody>
    </xdr:sp>
    <xdr:clientData/>
  </xdr:twoCellAnchor>
  <xdr:twoCellAnchor>
    <xdr:from>
      <xdr:col>8</xdr:col>
      <xdr:colOff>114300</xdr:colOff>
      <xdr:row>18</xdr:row>
      <xdr:rowOff>19050</xdr:rowOff>
    </xdr:from>
    <xdr:to>
      <xdr:col>13</xdr:col>
      <xdr:colOff>419100</xdr:colOff>
      <xdr:row>25</xdr:row>
      <xdr:rowOff>9525</xdr:rowOff>
    </xdr:to>
    <xdr:sp macro="" textlink="">
      <xdr:nvSpPr>
        <xdr:cNvPr id="7" name="TextBox 6"/>
        <xdr:cNvSpPr txBox="1"/>
      </xdr:nvSpPr>
      <xdr:spPr>
        <a:xfrm>
          <a:off x="8905875" y="3562350"/>
          <a:ext cx="2809875" cy="1219200"/>
        </a:xfrm>
        <a:prstGeom prst="rect">
          <a:avLst/>
        </a:prstGeom>
        <a:solidFill>
          <a:srgbClr val="00B050"/>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These entries should agree. Weaned lambs minus</a:t>
          </a:r>
          <a:r>
            <a:rPr lang="en-US" sz="1100" b="1" baseline="0"/>
            <a:t> those kept for replacements will be added to the Finish Lambs spreadsheet. Lambs weaned plus weaned lambs purchased less lambs kept for replacement less lamb death loss should equal finished lambs sold.</a:t>
          </a:r>
          <a:endParaRPr lang="en-US" sz="1100" b="1"/>
        </a:p>
      </xdr:txBody>
    </xdr:sp>
    <xdr:clientData/>
  </xdr:twoCellAnchor>
  <xdr:twoCellAnchor>
    <xdr:from>
      <xdr:col>6</xdr:col>
      <xdr:colOff>476251</xdr:colOff>
      <xdr:row>14</xdr:row>
      <xdr:rowOff>114300</xdr:rowOff>
    </xdr:from>
    <xdr:to>
      <xdr:col>8</xdr:col>
      <xdr:colOff>114301</xdr:colOff>
      <xdr:row>21</xdr:row>
      <xdr:rowOff>47625</xdr:rowOff>
    </xdr:to>
    <xdr:cxnSp macro="">
      <xdr:nvCxnSpPr>
        <xdr:cNvPr id="9" name="Straight Arrow Connector 8"/>
        <xdr:cNvCxnSpPr>
          <a:stCxn id="7" idx="1"/>
        </xdr:cNvCxnSpPr>
      </xdr:nvCxnSpPr>
      <xdr:spPr>
        <a:xfrm rot="10800000">
          <a:off x="6477001" y="3009900"/>
          <a:ext cx="981075" cy="1162050"/>
        </a:xfrm>
        <a:prstGeom prst="straightConnector1">
          <a:avLst/>
        </a:prstGeom>
        <a:ln>
          <a:solidFill>
            <a:srgbClr val="00B050"/>
          </a:solidFill>
          <a:tailEnd type="arrow"/>
        </a:ln>
      </xdr:spPr>
      <xdr:style>
        <a:lnRef idx="3">
          <a:schemeClr val="accent3"/>
        </a:lnRef>
        <a:fillRef idx="0">
          <a:schemeClr val="accent3"/>
        </a:fillRef>
        <a:effectRef idx="2">
          <a:schemeClr val="accent3"/>
        </a:effectRef>
        <a:fontRef idx="minor">
          <a:schemeClr val="tx1"/>
        </a:fontRef>
      </xdr:style>
    </xdr:cxnSp>
    <xdr:clientData/>
  </xdr:twoCellAnchor>
  <xdr:twoCellAnchor>
    <xdr:from>
      <xdr:col>6</xdr:col>
      <xdr:colOff>333375</xdr:colOff>
      <xdr:row>21</xdr:row>
      <xdr:rowOff>47624</xdr:rowOff>
    </xdr:from>
    <xdr:to>
      <xdr:col>8</xdr:col>
      <xdr:colOff>114300</xdr:colOff>
      <xdr:row>25</xdr:row>
      <xdr:rowOff>95249</xdr:rowOff>
    </xdr:to>
    <xdr:cxnSp macro="">
      <xdr:nvCxnSpPr>
        <xdr:cNvPr id="10" name="Straight Arrow Connector 9"/>
        <xdr:cNvCxnSpPr>
          <a:stCxn id="7" idx="1"/>
        </xdr:cNvCxnSpPr>
      </xdr:nvCxnSpPr>
      <xdr:spPr>
        <a:xfrm rot="10800000" flipV="1">
          <a:off x="6334125" y="4171949"/>
          <a:ext cx="1123950" cy="695325"/>
        </a:xfrm>
        <a:prstGeom prst="straightConnector1">
          <a:avLst/>
        </a:prstGeom>
        <a:ln>
          <a:solidFill>
            <a:srgbClr val="00B050"/>
          </a:solidFill>
          <a:tailEnd type="arrow"/>
        </a:ln>
      </xdr:spPr>
      <xdr:style>
        <a:lnRef idx="3">
          <a:schemeClr val="accent3"/>
        </a:lnRef>
        <a:fillRef idx="0">
          <a:schemeClr val="accent3"/>
        </a:fillRef>
        <a:effectRef idx="2">
          <a:schemeClr val="accent3"/>
        </a:effectRef>
        <a:fontRef idx="minor">
          <a:schemeClr val="tx1"/>
        </a:fontRef>
      </xdr:style>
    </xdr:cxnSp>
    <xdr:clientData/>
  </xdr:twoCellAnchor>
  <xdr:twoCellAnchor>
    <xdr:from>
      <xdr:col>6</xdr:col>
      <xdr:colOff>285751</xdr:colOff>
      <xdr:row>21</xdr:row>
      <xdr:rowOff>47624</xdr:rowOff>
    </xdr:from>
    <xdr:to>
      <xdr:col>8</xdr:col>
      <xdr:colOff>114301</xdr:colOff>
      <xdr:row>21</xdr:row>
      <xdr:rowOff>114299</xdr:rowOff>
    </xdr:to>
    <xdr:cxnSp macro="">
      <xdr:nvCxnSpPr>
        <xdr:cNvPr id="11" name="Straight Arrow Connector 10"/>
        <xdr:cNvCxnSpPr>
          <a:stCxn id="7" idx="1"/>
        </xdr:cNvCxnSpPr>
      </xdr:nvCxnSpPr>
      <xdr:spPr>
        <a:xfrm rot="10800000" flipV="1">
          <a:off x="6286501" y="4171949"/>
          <a:ext cx="1171575" cy="66675"/>
        </a:xfrm>
        <a:prstGeom prst="straightConnector1">
          <a:avLst/>
        </a:prstGeom>
        <a:ln>
          <a:solidFill>
            <a:srgbClr val="00B050"/>
          </a:solidFill>
          <a:tailEnd type="arrow"/>
        </a:ln>
      </xdr:spPr>
      <xdr:style>
        <a:lnRef idx="3">
          <a:schemeClr val="accent3"/>
        </a:lnRef>
        <a:fillRef idx="0">
          <a:schemeClr val="accent3"/>
        </a:fillRef>
        <a:effectRef idx="2">
          <a:schemeClr val="accent3"/>
        </a:effectRef>
        <a:fontRef idx="minor">
          <a:schemeClr val="tx1"/>
        </a:fontRef>
      </xdr:style>
    </xdr:cxnSp>
    <xdr:clientData/>
  </xdr:twoCellAnchor>
  <xdr:twoCellAnchor>
    <xdr:from>
      <xdr:col>8</xdr:col>
      <xdr:colOff>38100</xdr:colOff>
      <xdr:row>39</xdr:row>
      <xdr:rowOff>123825</xdr:rowOff>
    </xdr:from>
    <xdr:to>
      <xdr:col>13</xdr:col>
      <xdr:colOff>342900</xdr:colOff>
      <xdr:row>43</xdr:row>
      <xdr:rowOff>361950</xdr:rowOff>
    </xdr:to>
    <xdr:sp macro="" textlink="">
      <xdr:nvSpPr>
        <xdr:cNvPr id="30" name="TextBox 29"/>
        <xdr:cNvSpPr txBox="1"/>
      </xdr:nvSpPr>
      <xdr:spPr>
        <a:xfrm>
          <a:off x="7381875" y="7753350"/>
          <a:ext cx="2809875" cy="971550"/>
        </a:xfrm>
        <a:prstGeom prst="rect">
          <a:avLst/>
        </a:prstGeom>
        <a:solidFill>
          <a:srgbClr val="00B050"/>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These columns are used to allocate expenses between the flock and feeding enterprises. The expenses in these tables</a:t>
          </a:r>
          <a:r>
            <a:rPr lang="en-US" sz="1100" b="1" baseline="0"/>
            <a:t> will be allocated between the flock and finish lamb enterprises as per these percentages.</a:t>
          </a:r>
          <a:endParaRPr lang="en-US" sz="1100" b="1"/>
        </a:p>
      </xdr:txBody>
    </xdr:sp>
    <xdr:clientData/>
  </xdr:twoCellAnchor>
  <xdr:twoCellAnchor>
    <xdr:from>
      <xdr:col>4</xdr:col>
      <xdr:colOff>647701</xdr:colOff>
      <xdr:row>42</xdr:row>
      <xdr:rowOff>114300</xdr:rowOff>
    </xdr:from>
    <xdr:to>
      <xdr:col>8</xdr:col>
      <xdr:colOff>38101</xdr:colOff>
      <xdr:row>43</xdr:row>
      <xdr:rowOff>257175</xdr:rowOff>
    </xdr:to>
    <xdr:cxnSp macro="">
      <xdr:nvCxnSpPr>
        <xdr:cNvPr id="31" name="Straight Arrow Connector 30"/>
        <xdr:cNvCxnSpPr>
          <a:stCxn id="30" idx="1"/>
        </xdr:cNvCxnSpPr>
      </xdr:nvCxnSpPr>
      <xdr:spPr>
        <a:xfrm rot="10800000" flipV="1">
          <a:off x="5200651" y="8239125"/>
          <a:ext cx="2181225" cy="381000"/>
        </a:xfrm>
        <a:prstGeom prst="straightConnector1">
          <a:avLst/>
        </a:prstGeom>
        <a:ln>
          <a:solidFill>
            <a:srgbClr val="00B050"/>
          </a:solidFill>
          <a:tailEnd type="arrow"/>
        </a:ln>
      </xdr:spPr>
      <xdr:style>
        <a:lnRef idx="3">
          <a:schemeClr val="accent3"/>
        </a:lnRef>
        <a:fillRef idx="0">
          <a:schemeClr val="accent3"/>
        </a:fillRef>
        <a:effectRef idx="2">
          <a:schemeClr val="accent3"/>
        </a:effectRef>
        <a:fontRef idx="minor">
          <a:schemeClr val="tx1"/>
        </a:fontRef>
      </xdr:style>
    </xdr:cxnSp>
    <xdr:clientData/>
  </xdr:twoCellAnchor>
  <xdr:twoCellAnchor>
    <xdr:from>
      <xdr:col>5</xdr:col>
      <xdr:colOff>533403</xdr:colOff>
      <xdr:row>42</xdr:row>
      <xdr:rowOff>114300</xdr:rowOff>
    </xdr:from>
    <xdr:to>
      <xdr:col>8</xdr:col>
      <xdr:colOff>38101</xdr:colOff>
      <xdr:row>43</xdr:row>
      <xdr:rowOff>466725</xdr:rowOff>
    </xdr:to>
    <xdr:cxnSp macro="">
      <xdr:nvCxnSpPr>
        <xdr:cNvPr id="34" name="Straight Arrow Connector 33"/>
        <xdr:cNvCxnSpPr>
          <a:stCxn id="30" idx="1"/>
        </xdr:cNvCxnSpPr>
      </xdr:nvCxnSpPr>
      <xdr:spPr>
        <a:xfrm rot="10800000" flipV="1">
          <a:off x="5829303" y="8239125"/>
          <a:ext cx="1552573" cy="590550"/>
        </a:xfrm>
        <a:prstGeom prst="straightConnector1">
          <a:avLst/>
        </a:prstGeom>
        <a:ln>
          <a:solidFill>
            <a:srgbClr val="00B050"/>
          </a:solidFill>
          <a:tailEnd type="arrow"/>
        </a:ln>
      </xdr:spPr>
      <xdr:style>
        <a:lnRef idx="3">
          <a:schemeClr val="accent3"/>
        </a:lnRef>
        <a:fillRef idx="0">
          <a:schemeClr val="accent3"/>
        </a:fillRef>
        <a:effectRef idx="2">
          <a:schemeClr val="accent3"/>
        </a:effectRef>
        <a:fontRef idx="minor">
          <a:schemeClr val="tx1"/>
        </a:fontRef>
      </xdr:style>
    </xdr:cxnSp>
    <xdr:clientData/>
  </xdr:twoCellAnchor>
  <xdr:twoCellAnchor>
    <xdr:from>
      <xdr:col>6</xdr:col>
      <xdr:colOff>647700</xdr:colOff>
      <xdr:row>43</xdr:row>
      <xdr:rowOff>361951</xdr:rowOff>
    </xdr:from>
    <xdr:to>
      <xdr:col>11</xdr:col>
      <xdr:colOff>157163</xdr:colOff>
      <xdr:row>61</xdr:row>
      <xdr:rowOff>104779</xdr:rowOff>
    </xdr:to>
    <xdr:cxnSp macro="">
      <xdr:nvCxnSpPr>
        <xdr:cNvPr id="37" name="Straight Arrow Connector 36"/>
        <xdr:cNvCxnSpPr>
          <a:stCxn id="30" idx="2"/>
        </xdr:cNvCxnSpPr>
      </xdr:nvCxnSpPr>
      <xdr:spPr>
        <a:xfrm rot="5400000">
          <a:off x="6065043" y="9308308"/>
          <a:ext cx="3305178" cy="2138363"/>
        </a:xfrm>
        <a:prstGeom prst="straightConnector1">
          <a:avLst/>
        </a:prstGeom>
        <a:ln>
          <a:solidFill>
            <a:srgbClr val="00B050"/>
          </a:solidFill>
          <a:tailEnd type="arrow"/>
        </a:ln>
      </xdr:spPr>
      <xdr:style>
        <a:lnRef idx="3">
          <a:schemeClr val="accent3"/>
        </a:lnRef>
        <a:fillRef idx="0">
          <a:schemeClr val="accent3"/>
        </a:fillRef>
        <a:effectRef idx="2">
          <a:schemeClr val="accent3"/>
        </a:effectRef>
        <a:fontRef idx="minor">
          <a:schemeClr val="tx1"/>
        </a:fontRef>
      </xdr:style>
    </xdr:cxnSp>
    <xdr:clientData/>
  </xdr:twoCellAnchor>
  <xdr:twoCellAnchor>
    <xdr:from>
      <xdr:col>7</xdr:col>
      <xdr:colOff>523876</xdr:colOff>
      <xdr:row>43</xdr:row>
      <xdr:rowOff>361949</xdr:rowOff>
    </xdr:from>
    <xdr:to>
      <xdr:col>11</xdr:col>
      <xdr:colOff>157164</xdr:colOff>
      <xdr:row>61</xdr:row>
      <xdr:rowOff>123824</xdr:rowOff>
    </xdr:to>
    <xdr:cxnSp macro="">
      <xdr:nvCxnSpPr>
        <xdr:cNvPr id="38" name="Straight Arrow Connector 37"/>
        <xdr:cNvCxnSpPr>
          <a:stCxn id="30" idx="2"/>
        </xdr:cNvCxnSpPr>
      </xdr:nvCxnSpPr>
      <xdr:spPr>
        <a:xfrm rot="5400000">
          <a:off x="6346032" y="9608343"/>
          <a:ext cx="3324225" cy="1557338"/>
        </a:xfrm>
        <a:prstGeom prst="straightConnector1">
          <a:avLst/>
        </a:prstGeom>
        <a:ln>
          <a:solidFill>
            <a:srgbClr val="00B050"/>
          </a:solidFill>
          <a:tailEnd type="arrow"/>
        </a:ln>
      </xdr:spPr>
      <xdr:style>
        <a:lnRef idx="3">
          <a:schemeClr val="accent3"/>
        </a:lnRef>
        <a:fillRef idx="0">
          <a:schemeClr val="accent3"/>
        </a:fillRef>
        <a:effectRef idx="2">
          <a:schemeClr val="accent3"/>
        </a:effectRef>
        <a:fontRef idx="minor">
          <a:schemeClr val="tx1"/>
        </a:fontRef>
      </xdr:style>
    </xdr:cxnSp>
    <xdr:clientData/>
  </xdr:twoCellAnchor>
  <xdr:twoCellAnchor>
    <xdr:from>
      <xdr:col>5</xdr:col>
      <xdr:colOff>609601</xdr:colOff>
      <xdr:row>43</xdr:row>
      <xdr:rowOff>361950</xdr:rowOff>
    </xdr:from>
    <xdr:to>
      <xdr:col>11</xdr:col>
      <xdr:colOff>157164</xdr:colOff>
      <xdr:row>76</xdr:row>
      <xdr:rowOff>0</xdr:rowOff>
    </xdr:to>
    <xdr:cxnSp macro="">
      <xdr:nvCxnSpPr>
        <xdr:cNvPr id="44" name="Curved Connector 43"/>
        <xdr:cNvCxnSpPr>
          <a:stCxn id="30" idx="2"/>
        </xdr:cNvCxnSpPr>
      </xdr:nvCxnSpPr>
      <xdr:spPr>
        <a:xfrm rot="5400000">
          <a:off x="4217195" y="10413206"/>
          <a:ext cx="6257925" cy="2881313"/>
        </a:xfrm>
        <a:prstGeom prst="curvedConnector3">
          <a:avLst>
            <a:gd name="adj1" fmla="val 87595"/>
          </a:avLst>
        </a:prstGeom>
        <a:ln w="444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571502</xdr:colOff>
      <xdr:row>43</xdr:row>
      <xdr:rowOff>361949</xdr:rowOff>
    </xdr:from>
    <xdr:to>
      <xdr:col>11</xdr:col>
      <xdr:colOff>157164</xdr:colOff>
      <xdr:row>76</xdr:row>
      <xdr:rowOff>9523</xdr:rowOff>
    </xdr:to>
    <xdr:cxnSp macro="">
      <xdr:nvCxnSpPr>
        <xdr:cNvPr id="46" name="Curved Connector 45"/>
        <xdr:cNvCxnSpPr>
          <a:stCxn id="30" idx="2"/>
        </xdr:cNvCxnSpPr>
      </xdr:nvCxnSpPr>
      <xdr:spPr>
        <a:xfrm rot="5400000">
          <a:off x="4545808" y="10751343"/>
          <a:ext cx="6267449" cy="2214562"/>
        </a:xfrm>
        <a:prstGeom prst="curvedConnector3">
          <a:avLst>
            <a:gd name="adj1" fmla="val 91337"/>
          </a:avLst>
        </a:prstGeom>
        <a:ln w="444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180975</xdr:colOff>
      <xdr:row>26</xdr:row>
      <xdr:rowOff>38100</xdr:rowOff>
    </xdr:from>
    <xdr:to>
      <xdr:col>13</xdr:col>
      <xdr:colOff>600075</xdr:colOff>
      <xdr:row>30</xdr:row>
      <xdr:rowOff>523875</xdr:rowOff>
    </xdr:to>
    <xdr:sp macro="" textlink="">
      <xdr:nvSpPr>
        <xdr:cNvPr id="16" name="TextBox 15"/>
        <xdr:cNvSpPr txBox="1"/>
      </xdr:nvSpPr>
      <xdr:spPr>
        <a:xfrm>
          <a:off x="7524750" y="4972050"/>
          <a:ext cx="2924175" cy="1219200"/>
        </a:xfrm>
        <a:prstGeom prst="rect">
          <a:avLst/>
        </a:prstGeom>
        <a:solidFill>
          <a:srgbClr val="00B050"/>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This is a conversion factor if feed is purchased in one unit and fed in another. For example,</a:t>
          </a:r>
          <a:r>
            <a:rPr lang="en-US" sz="1100" b="1" baseline="0"/>
            <a:t> i</a:t>
          </a:r>
          <a:r>
            <a:rPr lang="en-US" sz="1100" b="1"/>
            <a:t>f feed is priced by the ton and fed by the pound this entry is 2000</a:t>
          </a:r>
          <a:r>
            <a:rPr lang="en-US" sz="1100" b="1" baseline="0"/>
            <a:t> (</a:t>
          </a:r>
          <a:r>
            <a:rPr lang="en-US" sz="1100" b="1"/>
            <a:t>2,000 lbs / ton). If feed is priced by the bushel and fed by the pound this entry</a:t>
          </a:r>
          <a:r>
            <a:rPr lang="en-US" sz="1100" b="1" baseline="0"/>
            <a:t>  is 56 for corn (56 lbs / bu).</a:t>
          </a:r>
          <a:endParaRPr lang="en-US" sz="1100" b="1"/>
        </a:p>
      </xdr:txBody>
    </xdr:sp>
    <xdr:clientData/>
  </xdr:twoCellAnchor>
  <xdr:twoCellAnchor>
    <xdr:from>
      <xdr:col>5</xdr:col>
      <xdr:colOff>561978</xdr:colOff>
      <xdr:row>29</xdr:row>
      <xdr:rowOff>142874</xdr:rowOff>
    </xdr:from>
    <xdr:to>
      <xdr:col>8</xdr:col>
      <xdr:colOff>180976</xdr:colOff>
      <xdr:row>30</xdr:row>
      <xdr:rowOff>342899</xdr:rowOff>
    </xdr:to>
    <xdr:cxnSp macro="">
      <xdr:nvCxnSpPr>
        <xdr:cNvPr id="17" name="Straight Arrow Connector 16"/>
        <xdr:cNvCxnSpPr>
          <a:stCxn id="16" idx="1"/>
        </xdr:cNvCxnSpPr>
      </xdr:nvCxnSpPr>
      <xdr:spPr>
        <a:xfrm rot="10800000" flipV="1">
          <a:off x="5857878" y="5581649"/>
          <a:ext cx="1666873" cy="428625"/>
        </a:xfrm>
        <a:prstGeom prst="straightConnector1">
          <a:avLst/>
        </a:prstGeom>
        <a:ln>
          <a:solidFill>
            <a:srgbClr val="00B050"/>
          </a:solidFill>
          <a:tailEnd type="arrow"/>
        </a:ln>
      </xdr:spPr>
      <xdr:style>
        <a:lnRef idx="3">
          <a:schemeClr val="accent3"/>
        </a:lnRef>
        <a:fillRef idx="0">
          <a:schemeClr val="accent3"/>
        </a:fillRef>
        <a:effectRef idx="2">
          <a:schemeClr val="accent3"/>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13</xdr:row>
      <xdr:rowOff>95250</xdr:rowOff>
    </xdr:from>
    <xdr:to>
      <xdr:col>0</xdr:col>
      <xdr:colOff>3057525</xdr:colOff>
      <xdr:row>17</xdr:row>
      <xdr:rowOff>85725</xdr:rowOff>
    </xdr:to>
    <xdr:sp macro="" textlink="">
      <xdr:nvSpPr>
        <xdr:cNvPr id="2" name="Rounded Rectangular Callout 1"/>
        <xdr:cNvSpPr/>
      </xdr:nvSpPr>
      <xdr:spPr>
        <a:xfrm>
          <a:off x="19050" y="2743200"/>
          <a:ext cx="3038475" cy="638175"/>
        </a:xfrm>
        <a:prstGeom prst="wedgeRoundRectCallout">
          <a:avLst>
            <a:gd name="adj1" fmla="val 113336"/>
            <a:gd name="adj2" fmla="val 6495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000">
              <a:solidFill>
                <a:srgbClr val="FFFF00"/>
              </a:solidFill>
            </a:rPr>
            <a:t>Enter</a:t>
          </a:r>
          <a:r>
            <a:rPr lang="en-US" sz="2000" baseline="0">
              <a:solidFill>
                <a:srgbClr val="FFFF00"/>
              </a:solidFill>
            </a:rPr>
            <a:t> Data into cells with yellow background..</a:t>
          </a:r>
          <a:endParaRPr lang="en-US" sz="2000">
            <a:solidFill>
              <a:srgbClr val="FFFF00"/>
            </a:solidFill>
          </a:endParaRPr>
        </a:p>
      </xdr:txBody>
    </xdr:sp>
    <xdr:clientData/>
  </xdr:twoCellAnchor>
  <xdr:twoCellAnchor>
    <xdr:from>
      <xdr:col>0</xdr:col>
      <xdr:colOff>57151</xdr:colOff>
      <xdr:row>19</xdr:row>
      <xdr:rowOff>85725</xdr:rowOff>
    </xdr:from>
    <xdr:to>
      <xdr:col>0</xdr:col>
      <xdr:colOff>2838451</xdr:colOff>
      <xdr:row>28</xdr:row>
      <xdr:rowOff>95251</xdr:rowOff>
    </xdr:to>
    <xdr:sp macro="" textlink="">
      <xdr:nvSpPr>
        <xdr:cNvPr id="4" name="Rounded Rectangular Callout 3"/>
        <xdr:cNvSpPr/>
      </xdr:nvSpPr>
      <xdr:spPr>
        <a:xfrm>
          <a:off x="57151" y="3724275"/>
          <a:ext cx="2781300" cy="1504951"/>
        </a:xfrm>
        <a:prstGeom prst="wedgeRoundRectCallout">
          <a:avLst>
            <a:gd name="adj1" fmla="val 61660"/>
            <a:gd name="adj2" fmla="val -2667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000">
              <a:solidFill>
                <a:srgbClr val="FFFF00"/>
              </a:solidFill>
            </a:rPr>
            <a:t>Cells with a blue background use dropdown menus to enter data</a:t>
          </a:r>
        </a:p>
        <a:p>
          <a:pPr algn="ctr"/>
          <a:endParaRPr lang="en-US" sz="2000">
            <a:solidFill>
              <a:srgbClr val="FFFF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6</xdr:row>
      <xdr:rowOff>180975</xdr:rowOff>
    </xdr:from>
    <xdr:to>
      <xdr:col>0</xdr:col>
      <xdr:colOff>2847975</xdr:colOff>
      <xdr:row>14</xdr:row>
      <xdr:rowOff>133351</xdr:rowOff>
    </xdr:to>
    <xdr:sp macro="" textlink="">
      <xdr:nvSpPr>
        <xdr:cNvPr id="2" name="Rounded Rectangular Callout 1"/>
        <xdr:cNvSpPr/>
      </xdr:nvSpPr>
      <xdr:spPr>
        <a:xfrm>
          <a:off x="66675" y="1419225"/>
          <a:ext cx="2781300" cy="1504951"/>
        </a:xfrm>
        <a:prstGeom prst="wedgeRoundRectCallout">
          <a:avLst>
            <a:gd name="adj1" fmla="val 58235"/>
            <a:gd name="adj2" fmla="val 6952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000">
              <a:solidFill>
                <a:srgbClr val="FFFF00"/>
              </a:solidFill>
            </a:rPr>
            <a:t>Cells with a blue background use dropdown menus to enter data</a:t>
          </a:r>
        </a:p>
        <a:p>
          <a:pPr algn="ctr"/>
          <a:endParaRPr lang="en-US" sz="2000">
            <a:solidFill>
              <a:srgbClr val="FFFF00"/>
            </a:solidFill>
          </a:endParaRPr>
        </a:p>
      </xdr:txBody>
    </xdr:sp>
    <xdr:clientData/>
  </xdr:twoCellAnchor>
  <xdr:twoCellAnchor>
    <xdr:from>
      <xdr:col>0</xdr:col>
      <xdr:colOff>0</xdr:colOff>
      <xdr:row>20</xdr:row>
      <xdr:rowOff>152400</xdr:rowOff>
    </xdr:from>
    <xdr:to>
      <xdr:col>0</xdr:col>
      <xdr:colOff>2771775</xdr:colOff>
      <xdr:row>26</xdr:row>
      <xdr:rowOff>142875</xdr:rowOff>
    </xdr:to>
    <xdr:sp macro="" textlink="">
      <xdr:nvSpPr>
        <xdr:cNvPr id="3" name="Rounded Rectangular Callout 2"/>
        <xdr:cNvSpPr/>
      </xdr:nvSpPr>
      <xdr:spPr>
        <a:xfrm>
          <a:off x="0" y="3933825"/>
          <a:ext cx="2771775" cy="1000125"/>
        </a:xfrm>
        <a:prstGeom prst="wedgeRoundRectCallout">
          <a:avLst>
            <a:gd name="adj1" fmla="val 118979"/>
            <a:gd name="adj2" fmla="val -4997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000">
              <a:solidFill>
                <a:srgbClr val="FFFF00"/>
              </a:solidFill>
            </a:rPr>
            <a:t>Enter</a:t>
          </a:r>
          <a:r>
            <a:rPr lang="en-US" sz="2000" baseline="0">
              <a:solidFill>
                <a:srgbClr val="FFFF00"/>
              </a:solidFill>
            </a:rPr>
            <a:t> Data into cells with yellow background.</a:t>
          </a:r>
          <a:endParaRPr lang="en-US" sz="2000">
            <a:solidFill>
              <a:srgbClr val="FFFF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1</xdr:row>
      <xdr:rowOff>9525</xdr:rowOff>
    </xdr:from>
    <xdr:to>
      <xdr:col>0</xdr:col>
      <xdr:colOff>2781300</xdr:colOff>
      <xdr:row>9</xdr:row>
      <xdr:rowOff>1</xdr:rowOff>
    </xdr:to>
    <xdr:sp macro="" textlink="">
      <xdr:nvSpPr>
        <xdr:cNvPr id="2" name="Rounded Rectangular Callout 1"/>
        <xdr:cNvSpPr/>
      </xdr:nvSpPr>
      <xdr:spPr>
        <a:xfrm>
          <a:off x="9525" y="247650"/>
          <a:ext cx="2771775" cy="1504951"/>
        </a:xfrm>
        <a:prstGeom prst="wedgeRoundRectCallout">
          <a:avLst>
            <a:gd name="adj1" fmla="val 54799"/>
            <a:gd name="adj2" fmla="val 6256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000">
              <a:solidFill>
                <a:srgbClr val="FFFF00"/>
              </a:solidFill>
            </a:rPr>
            <a:t>Cells with a blue background use dropdown menus to enter data</a:t>
          </a:r>
        </a:p>
        <a:p>
          <a:pPr algn="ctr"/>
          <a:endParaRPr lang="en-US" sz="2000">
            <a:solidFill>
              <a:srgbClr val="FFFF00"/>
            </a:solidFill>
          </a:endParaRPr>
        </a:p>
      </xdr:txBody>
    </xdr:sp>
    <xdr:clientData/>
  </xdr:twoCellAnchor>
  <xdr:twoCellAnchor>
    <xdr:from>
      <xdr:col>0</xdr:col>
      <xdr:colOff>0</xdr:colOff>
      <xdr:row>19</xdr:row>
      <xdr:rowOff>0</xdr:rowOff>
    </xdr:from>
    <xdr:to>
      <xdr:col>1</xdr:col>
      <xdr:colOff>152400</xdr:colOff>
      <xdr:row>22</xdr:row>
      <xdr:rowOff>152400</xdr:rowOff>
    </xdr:to>
    <xdr:sp macro="" textlink="">
      <xdr:nvSpPr>
        <xdr:cNvPr id="3" name="Rounded Rectangular Callout 2"/>
        <xdr:cNvSpPr/>
      </xdr:nvSpPr>
      <xdr:spPr>
        <a:xfrm>
          <a:off x="0" y="3429000"/>
          <a:ext cx="3038475" cy="638175"/>
        </a:xfrm>
        <a:prstGeom prst="wedgeRoundRectCallout">
          <a:avLst>
            <a:gd name="adj1" fmla="val 109575"/>
            <a:gd name="adj2" fmla="val -26638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000">
              <a:solidFill>
                <a:srgbClr val="FFFF00"/>
              </a:solidFill>
            </a:rPr>
            <a:t>Enter</a:t>
          </a:r>
          <a:r>
            <a:rPr lang="en-US" sz="2000" baseline="0">
              <a:solidFill>
                <a:srgbClr val="FFFF00"/>
              </a:solidFill>
            </a:rPr>
            <a:t> Data into cells with yellow background..</a:t>
          </a:r>
          <a:endParaRPr lang="en-US" sz="2000">
            <a:solidFill>
              <a:srgbClr val="FFFF00"/>
            </a:solidFill>
          </a:endParaRPr>
        </a:p>
      </xdr:txBody>
    </xdr:sp>
    <xdr:clientData/>
  </xdr:twoCellAnchor>
  <xdr:twoCellAnchor>
    <xdr:from>
      <xdr:col>6</xdr:col>
      <xdr:colOff>257175</xdr:colOff>
      <xdr:row>16</xdr:row>
      <xdr:rowOff>66675</xdr:rowOff>
    </xdr:from>
    <xdr:to>
      <xdr:col>10</xdr:col>
      <xdr:colOff>47625</xdr:colOff>
      <xdr:row>21</xdr:row>
      <xdr:rowOff>114300</xdr:rowOff>
    </xdr:to>
    <xdr:sp macro="" textlink="">
      <xdr:nvSpPr>
        <xdr:cNvPr id="4" name="TextBox 3"/>
        <xdr:cNvSpPr txBox="1"/>
      </xdr:nvSpPr>
      <xdr:spPr>
        <a:xfrm>
          <a:off x="7591425" y="3009900"/>
          <a:ext cx="2809875" cy="857250"/>
        </a:xfrm>
        <a:prstGeom prst="rect">
          <a:avLst/>
        </a:prstGeom>
        <a:solidFill>
          <a:srgbClr val="00B050"/>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No totals will appear on</a:t>
          </a:r>
          <a:r>
            <a:rPr lang="en-US" sz="1100" b="1" baseline="0"/>
            <a:t> this page if the question "Are replacement ewes purchased?"on the input page is answered "Yes".</a:t>
          </a:r>
          <a:endParaRPr lang="en-US" sz="1100" b="1"/>
        </a:p>
      </xdr:txBody>
    </xdr:sp>
    <xdr:clientData/>
  </xdr:twoCellAnchor>
  <xdr:twoCellAnchor>
    <xdr:from>
      <xdr:col>8</xdr:col>
      <xdr:colOff>4</xdr:colOff>
      <xdr:row>10</xdr:row>
      <xdr:rowOff>133350</xdr:rowOff>
    </xdr:from>
    <xdr:to>
      <xdr:col>9</xdr:col>
      <xdr:colOff>71439</xdr:colOff>
      <xdr:row>16</xdr:row>
      <xdr:rowOff>66675</xdr:rowOff>
    </xdr:to>
    <xdr:cxnSp macro="">
      <xdr:nvCxnSpPr>
        <xdr:cNvPr id="5" name="Straight Arrow Connector 4"/>
        <xdr:cNvCxnSpPr>
          <a:stCxn id="4" idx="0"/>
        </xdr:cNvCxnSpPr>
      </xdr:nvCxnSpPr>
      <xdr:spPr>
        <a:xfrm rot="16200000" flipV="1">
          <a:off x="8331996" y="2345533"/>
          <a:ext cx="962025" cy="366710"/>
        </a:xfrm>
        <a:prstGeom prst="straightConnector1">
          <a:avLst/>
        </a:prstGeom>
        <a:ln>
          <a:solidFill>
            <a:srgbClr val="00B050"/>
          </a:solidFill>
          <a:tailEnd type="arrow"/>
        </a:ln>
      </xdr:spPr>
      <xdr:style>
        <a:lnRef idx="3">
          <a:schemeClr val="accent3"/>
        </a:lnRef>
        <a:fillRef idx="0">
          <a:schemeClr val="accent3"/>
        </a:fillRef>
        <a:effectRef idx="2">
          <a:schemeClr val="accent3"/>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8</xdr:row>
      <xdr:rowOff>9525</xdr:rowOff>
    </xdr:from>
    <xdr:to>
      <xdr:col>0</xdr:col>
      <xdr:colOff>2771775</xdr:colOff>
      <xdr:row>15</xdr:row>
      <xdr:rowOff>190501</xdr:rowOff>
    </xdr:to>
    <xdr:sp macro="" textlink="">
      <xdr:nvSpPr>
        <xdr:cNvPr id="2" name="Rounded Rectangular Callout 1"/>
        <xdr:cNvSpPr/>
      </xdr:nvSpPr>
      <xdr:spPr>
        <a:xfrm>
          <a:off x="0" y="1571625"/>
          <a:ext cx="2771775" cy="1504951"/>
        </a:xfrm>
        <a:prstGeom prst="wedgeRoundRectCallout">
          <a:avLst>
            <a:gd name="adj1" fmla="val 54799"/>
            <a:gd name="adj2" fmla="val 6256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000">
              <a:solidFill>
                <a:srgbClr val="FFFF00"/>
              </a:solidFill>
            </a:rPr>
            <a:t>Cells with a blue background use dropdown menus to enter data</a:t>
          </a:r>
        </a:p>
        <a:p>
          <a:pPr algn="ctr"/>
          <a:endParaRPr lang="en-US" sz="2000">
            <a:solidFill>
              <a:srgbClr val="FFFF00"/>
            </a:solidFill>
          </a:endParaRPr>
        </a:p>
      </xdr:txBody>
    </xdr:sp>
    <xdr:clientData/>
  </xdr:twoCellAnchor>
  <xdr:twoCellAnchor>
    <xdr:from>
      <xdr:col>0</xdr:col>
      <xdr:colOff>9526</xdr:colOff>
      <xdr:row>22</xdr:row>
      <xdr:rowOff>9524</xdr:rowOff>
    </xdr:from>
    <xdr:to>
      <xdr:col>0</xdr:col>
      <xdr:colOff>2809875</xdr:colOff>
      <xdr:row>27</xdr:row>
      <xdr:rowOff>95249</xdr:rowOff>
    </xdr:to>
    <xdr:sp macro="" textlink="">
      <xdr:nvSpPr>
        <xdr:cNvPr id="3" name="Rounded Rectangular Callout 2"/>
        <xdr:cNvSpPr/>
      </xdr:nvSpPr>
      <xdr:spPr>
        <a:xfrm>
          <a:off x="9526" y="4248149"/>
          <a:ext cx="2800349" cy="904875"/>
        </a:xfrm>
        <a:prstGeom prst="wedgeRoundRectCallout">
          <a:avLst>
            <a:gd name="adj1" fmla="val 117934"/>
            <a:gd name="adj2" fmla="val -5892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000">
              <a:solidFill>
                <a:srgbClr val="FFFF00"/>
              </a:solidFill>
            </a:rPr>
            <a:t>Enter</a:t>
          </a:r>
          <a:r>
            <a:rPr lang="en-US" sz="2000" baseline="0">
              <a:solidFill>
                <a:srgbClr val="FFFF00"/>
              </a:solidFill>
            </a:rPr>
            <a:t> Data into cells with yellow background..</a:t>
          </a:r>
          <a:endParaRPr lang="en-US" sz="2000">
            <a:solidFill>
              <a:srgbClr val="FFFF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
  <sheetViews>
    <sheetView tabSelected="1" workbookViewId="0"/>
  </sheetViews>
  <sheetFormatPr defaultRowHeight="12.75"/>
  <cols>
    <col min="1" max="16384" width="9.140625" style="312"/>
  </cols>
  <sheetData/>
  <pageMargins left="0.7" right="0.7" top="0.75" bottom="0.75" header="0.3" footer="0.3"/>
  <pageSetup scale="63" orientation="portrait" r:id="rId1"/>
  <drawing r:id="rId2"/>
</worksheet>
</file>

<file path=xl/worksheets/sheet2.xml><?xml version="1.0" encoding="utf-8"?>
<worksheet xmlns="http://schemas.openxmlformats.org/spreadsheetml/2006/main" xmlns:r="http://schemas.openxmlformats.org/officeDocument/2006/relationships">
  <sheetPr codeName="Sheet1">
    <pageSetUpPr fitToPage="1"/>
  </sheetPr>
  <dimension ref="A1:AE213"/>
  <sheetViews>
    <sheetView workbookViewId="0">
      <selection activeCell="B1" sqref="B1"/>
    </sheetView>
  </sheetViews>
  <sheetFormatPr defaultRowHeight="12.75"/>
  <cols>
    <col min="1" max="1" width="5.85546875" style="313" customWidth="1"/>
    <col min="2" max="2" width="33.85546875" style="30" customWidth="1"/>
    <col min="3" max="3" width="15.28515625" style="30" customWidth="1"/>
    <col min="4" max="4" width="13.28515625" style="30" customWidth="1"/>
    <col min="5" max="5" width="11.140625" style="30" customWidth="1"/>
    <col min="6" max="7" width="10.5703125" style="30" customWidth="1"/>
    <col min="8" max="8" width="9.5703125" style="30" customWidth="1"/>
    <col min="9" max="9" width="5" style="313" customWidth="1"/>
    <col min="10" max="10" width="4.28515625" style="313" customWidth="1"/>
    <col min="11" max="11" width="10" style="313" customWidth="1"/>
    <col min="12" max="13" width="9.140625" style="313"/>
    <col min="14" max="14" width="21.140625" style="313" bestFit="1" customWidth="1"/>
    <col min="15" max="15" width="16.5703125" style="313" customWidth="1"/>
    <col min="16" max="16" width="19.7109375" style="313" customWidth="1"/>
    <col min="17" max="19" width="9.140625" style="313"/>
    <col min="20" max="31" width="9.140625" style="202"/>
    <col min="32" max="16384" width="9.140625" style="30"/>
  </cols>
  <sheetData>
    <row r="1" spans="2:11" ht="30.75" thickBot="1">
      <c r="B1" s="216" t="s">
        <v>77</v>
      </c>
      <c r="C1" s="28"/>
      <c r="D1" s="28"/>
      <c r="E1" s="28"/>
      <c r="F1" s="28"/>
      <c r="G1" s="28"/>
      <c r="H1" s="28"/>
    </row>
    <row r="2" spans="2:11" ht="18.75" thickBot="1">
      <c r="B2" s="56" t="s">
        <v>80</v>
      </c>
      <c r="C2" s="304"/>
      <c r="D2" s="304"/>
      <c r="E2" s="304"/>
      <c r="F2" s="304"/>
      <c r="G2" s="305"/>
      <c r="H2" s="29"/>
    </row>
    <row r="3" spans="2:11">
      <c r="B3" s="299" t="s">
        <v>82</v>
      </c>
      <c r="C3" s="300"/>
      <c r="D3" s="28"/>
      <c r="E3" s="354"/>
      <c r="F3" s="356">
        <v>150</v>
      </c>
      <c r="G3" s="32" t="s">
        <v>83</v>
      </c>
      <c r="H3" s="29"/>
    </row>
    <row r="4" spans="2:11">
      <c r="B4" s="208" t="s">
        <v>123</v>
      </c>
      <c r="C4" s="300"/>
      <c r="D4" s="28"/>
      <c r="E4" s="354"/>
      <c r="F4" s="349">
        <v>20</v>
      </c>
      <c r="G4" s="32" t="s">
        <v>83</v>
      </c>
      <c r="H4" s="29"/>
    </row>
    <row r="5" spans="2:11">
      <c r="B5" s="208" t="s">
        <v>84</v>
      </c>
      <c r="C5" s="300"/>
      <c r="D5" s="28"/>
      <c r="E5" s="354"/>
      <c r="F5" s="350">
        <v>5</v>
      </c>
      <c r="G5" s="32" t="s">
        <v>83</v>
      </c>
      <c r="H5" s="29"/>
    </row>
    <row r="6" spans="2:11" ht="25.5" customHeight="1">
      <c r="B6" s="358" t="s">
        <v>138</v>
      </c>
      <c r="C6" s="379" t="s">
        <v>158</v>
      </c>
      <c r="D6" s="379"/>
      <c r="E6" s="380"/>
      <c r="F6" s="351" t="s">
        <v>139</v>
      </c>
      <c r="G6" s="32"/>
      <c r="H6" s="29"/>
      <c r="K6" s="314" t="s">
        <v>139</v>
      </c>
    </row>
    <row r="7" spans="2:11" ht="25.5" customHeight="1">
      <c r="B7" s="358" t="s">
        <v>141</v>
      </c>
      <c r="C7" s="379" t="s">
        <v>161</v>
      </c>
      <c r="D7" s="379"/>
      <c r="E7" s="380"/>
      <c r="F7" s="350">
        <v>50</v>
      </c>
      <c r="G7" s="32" t="s">
        <v>2</v>
      </c>
      <c r="H7" s="29"/>
      <c r="K7" s="314" t="s">
        <v>140</v>
      </c>
    </row>
    <row r="8" spans="2:11">
      <c r="B8" s="33" t="s">
        <v>85</v>
      </c>
      <c r="C8" s="29"/>
      <c r="D8" s="28"/>
      <c r="E8" s="354"/>
      <c r="F8" s="349">
        <v>150</v>
      </c>
      <c r="G8" s="32" t="s">
        <v>0</v>
      </c>
      <c r="H8" s="29"/>
    </row>
    <row r="9" spans="2:11">
      <c r="B9" s="33" t="s">
        <v>86</v>
      </c>
      <c r="C9" s="29"/>
      <c r="D9" s="28"/>
      <c r="E9" s="354"/>
      <c r="F9" s="349">
        <v>30</v>
      </c>
      <c r="G9" s="32" t="s">
        <v>1</v>
      </c>
      <c r="H9" s="28"/>
    </row>
    <row r="10" spans="2:11">
      <c r="B10" s="208" t="s">
        <v>87</v>
      </c>
      <c r="C10" s="300"/>
      <c r="D10" s="28"/>
      <c r="E10" s="354"/>
      <c r="F10" s="349">
        <v>2</v>
      </c>
      <c r="G10" s="32" t="s">
        <v>92</v>
      </c>
      <c r="H10" s="28"/>
    </row>
    <row r="11" spans="2:11">
      <c r="B11" s="33" t="s">
        <v>88</v>
      </c>
      <c r="C11" s="29"/>
      <c r="D11" s="28"/>
      <c r="E11" s="354"/>
      <c r="F11" s="349">
        <v>400</v>
      </c>
      <c r="G11" s="32" t="s">
        <v>2</v>
      </c>
      <c r="H11" s="29"/>
    </row>
    <row r="12" spans="2:11">
      <c r="B12" s="208" t="s">
        <v>89</v>
      </c>
      <c r="C12" s="300"/>
      <c r="D12" s="28"/>
      <c r="E12" s="354"/>
      <c r="F12" s="349">
        <v>5</v>
      </c>
      <c r="G12" s="32" t="s">
        <v>3</v>
      </c>
      <c r="H12" s="29"/>
    </row>
    <row r="13" spans="2:11">
      <c r="B13" s="208" t="s">
        <v>90</v>
      </c>
      <c r="C13" s="300"/>
      <c r="D13" s="28"/>
      <c r="E13" s="354"/>
      <c r="F13" s="352">
        <v>0</v>
      </c>
      <c r="G13" s="32"/>
      <c r="H13" s="29"/>
    </row>
    <row r="14" spans="2:11">
      <c r="B14" s="208" t="s">
        <v>91</v>
      </c>
      <c r="C14" s="300"/>
      <c r="D14" s="28"/>
      <c r="E14" s="354"/>
      <c r="F14" s="349">
        <v>60</v>
      </c>
      <c r="G14" s="32" t="s">
        <v>4</v>
      </c>
      <c r="H14" s="29"/>
    </row>
    <row r="15" spans="2:11">
      <c r="B15" s="208" t="s">
        <v>93</v>
      </c>
      <c r="C15" s="300"/>
      <c r="D15" s="28"/>
      <c r="E15" s="354"/>
      <c r="F15" s="349">
        <v>225</v>
      </c>
      <c r="G15" s="32" t="s">
        <v>33</v>
      </c>
      <c r="H15" s="29"/>
    </row>
    <row r="16" spans="2:11">
      <c r="B16" s="208" t="s">
        <v>94</v>
      </c>
      <c r="C16" s="300"/>
      <c r="D16" s="28"/>
      <c r="E16" s="354"/>
      <c r="F16" s="349">
        <v>60</v>
      </c>
      <c r="G16" s="32" t="s">
        <v>0</v>
      </c>
      <c r="H16" s="28"/>
    </row>
    <row r="17" spans="2:15">
      <c r="B17" s="208" t="s">
        <v>95</v>
      </c>
      <c r="C17" s="300"/>
      <c r="D17" s="28"/>
      <c r="E17" s="354"/>
      <c r="F17" s="349">
        <v>140</v>
      </c>
      <c r="G17" s="32" t="s">
        <v>1</v>
      </c>
      <c r="H17" s="28"/>
    </row>
    <row r="18" spans="2:15">
      <c r="B18" s="218" t="s">
        <v>151</v>
      </c>
      <c r="C18" s="300"/>
      <c r="D18" s="28"/>
      <c r="E18" s="354"/>
      <c r="F18" s="349">
        <v>150</v>
      </c>
      <c r="G18" s="32" t="s">
        <v>0</v>
      </c>
      <c r="H18" s="28"/>
    </row>
    <row r="19" spans="2:15" ht="13.5" thickBot="1">
      <c r="B19" s="210" t="s">
        <v>121</v>
      </c>
      <c r="C19" s="145"/>
      <c r="D19" s="145"/>
      <c r="E19" s="355"/>
      <c r="F19" s="353">
        <v>0.1</v>
      </c>
      <c r="G19" s="35" t="s">
        <v>120</v>
      </c>
      <c r="H19" s="28"/>
    </row>
    <row r="20" spans="2:15" ht="13.5" thickBot="1">
      <c r="G20" s="28"/>
      <c r="H20" s="28"/>
    </row>
    <row r="21" spans="2:15" ht="18.75" thickBot="1">
      <c r="B21" s="56" t="s">
        <v>81</v>
      </c>
      <c r="C21" s="56"/>
      <c r="D21" s="56"/>
      <c r="E21" s="56"/>
      <c r="F21" s="56"/>
      <c r="G21" s="357"/>
      <c r="H21" s="29"/>
      <c r="I21" s="318"/>
    </row>
    <row r="22" spans="2:15">
      <c r="B22" s="33" t="s">
        <v>96</v>
      </c>
      <c r="C22" s="29"/>
      <c r="D22" s="28"/>
      <c r="F22" s="140"/>
      <c r="G22" s="39" t="s">
        <v>7</v>
      </c>
      <c r="H22" s="209"/>
      <c r="I22" s="326"/>
    </row>
    <row r="23" spans="2:15">
      <c r="B23" s="33" t="s">
        <v>118</v>
      </c>
      <c r="C23" s="29"/>
      <c r="D23" s="28"/>
      <c r="E23" s="28"/>
      <c r="F23" s="212"/>
      <c r="G23" s="39" t="s">
        <v>5</v>
      </c>
      <c r="H23" s="209"/>
      <c r="I23" s="327"/>
    </row>
    <row r="24" spans="2:15">
      <c r="B24" s="33" t="s">
        <v>70</v>
      </c>
      <c r="C24" s="29"/>
      <c r="D24" s="28"/>
      <c r="E24" s="28"/>
      <c r="F24" s="1"/>
      <c r="G24" s="39" t="s">
        <v>71</v>
      </c>
      <c r="H24" s="209"/>
      <c r="I24" s="327"/>
    </row>
    <row r="25" spans="2:15">
      <c r="B25" s="299" t="s">
        <v>159</v>
      </c>
      <c r="C25" s="219"/>
      <c r="D25" s="28"/>
      <c r="E25" s="28"/>
      <c r="F25" s="211"/>
      <c r="G25" s="32" t="s">
        <v>0</v>
      </c>
      <c r="H25" s="219"/>
      <c r="I25" s="327"/>
    </row>
    <row r="26" spans="2:15">
      <c r="B26" s="208" t="s">
        <v>99</v>
      </c>
      <c r="C26" s="31"/>
      <c r="D26" s="28"/>
      <c r="E26" s="28"/>
      <c r="F26" s="1">
        <v>225</v>
      </c>
      <c r="G26" s="39" t="s">
        <v>7</v>
      </c>
    </row>
    <row r="27" spans="2:15">
      <c r="B27" s="208" t="s">
        <v>97</v>
      </c>
      <c r="C27" s="31"/>
      <c r="D27" s="28"/>
      <c r="F27" s="1">
        <v>60</v>
      </c>
      <c r="G27" s="39" t="s">
        <v>0</v>
      </c>
      <c r="H27" s="28"/>
    </row>
    <row r="28" spans="2:15" ht="13.5" thickBot="1">
      <c r="B28" s="210" t="s">
        <v>98</v>
      </c>
      <c r="C28" s="34"/>
      <c r="D28" s="301"/>
      <c r="E28" s="301"/>
      <c r="F28" s="213">
        <v>140</v>
      </c>
      <c r="G28" s="40" t="s">
        <v>1</v>
      </c>
      <c r="H28" s="31"/>
      <c r="I28" s="318"/>
      <c r="M28" s="315"/>
      <c r="N28" s="312"/>
      <c r="O28" s="312"/>
    </row>
    <row r="29" spans="2:15" ht="13.5" thickBot="1">
      <c r="B29" s="28"/>
      <c r="C29" s="28"/>
      <c r="D29" s="28"/>
      <c r="E29" s="28"/>
      <c r="F29" s="28"/>
      <c r="G29" s="28"/>
      <c r="H29" s="28"/>
      <c r="I29" s="318"/>
    </row>
    <row r="30" spans="2:15" ht="18" customHeight="1" thickBot="1">
      <c r="B30" s="56" t="s">
        <v>8</v>
      </c>
      <c r="C30" s="304"/>
      <c r="D30" s="304"/>
      <c r="E30" s="304"/>
      <c r="F30" s="304"/>
      <c r="G30" s="305"/>
      <c r="H30" s="28"/>
      <c r="I30" s="316"/>
      <c r="J30" s="316"/>
      <c r="K30" s="316"/>
      <c r="L30" s="317"/>
      <c r="M30" s="318"/>
    </row>
    <row r="31" spans="2:15" ht="51.75" customHeight="1" thickBot="1">
      <c r="B31" s="41" t="s">
        <v>9</v>
      </c>
      <c r="C31" s="42" t="s">
        <v>10</v>
      </c>
      <c r="D31" s="42" t="s">
        <v>119</v>
      </c>
      <c r="E31" s="42" t="s">
        <v>79</v>
      </c>
      <c r="F31" s="42" t="s">
        <v>11</v>
      </c>
      <c r="G31" s="43" t="s">
        <v>38</v>
      </c>
      <c r="H31" s="197"/>
      <c r="I31" s="319"/>
      <c r="J31" s="319"/>
      <c r="K31" s="319"/>
      <c r="L31" s="319"/>
      <c r="M31" s="318"/>
    </row>
    <row r="32" spans="2:15" ht="13.5" thickTop="1">
      <c r="B32" s="4" t="s">
        <v>162</v>
      </c>
      <c r="C32" s="5">
        <v>41</v>
      </c>
      <c r="D32" s="140" t="s">
        <v>163</v>
      </c>
      <c r="E32" s="140" t="s">
        <v>0</v>
      </c>
      <c r="F32" s="6">
        <v>1200</v>
      </c>
      <c r="G32" s="80">
        <f>IF(F32=0,"",C32/F32)</f>
        <v>3.4166666666666665E-2</v>
      </c>
      <c r="H32" s="28"/>
      <c r="I32" s="328"/>
      <c r="J32" s="317"/>
      <c r="K32" s="317"/>
      <c r="L32" s="320"/>
      <c r="M32" s="318"/>
    </row>
    <row r="33" spans="2:16">
      <c r="B33" s="7" t="s">
        <v>122</v>
      </c>
      <c r="C33" s="8">
        <v>43</v>
      </c>
      <c r="D33" s="1" t="s">
        <v>163</v>
      </c>
      <c r="E33" s="1" t="s">
        <v>0</v>
      </c>
      <c r="F33" s="9">
        <v>1200</v>
      </c>
      <c r="G33" s="80">
        <f t="shared" ref="G33:G41" si="0">IF(F33=0,"",C33/F33)</f>
        <v>3.5833333333333335E-2</v>
      </c>
      <c r="H33" s="28"/>
      <c r="I33" s="328"/>
      <c r="J33" s="317"/>
      <c r="K33" s="317"/>
      <c r="L33" s="320"/>
      <c r="M33" s="318"/>
    </row>
    <row r="34" spans="2:16">
      <c r="B34" s="7" t="s">
        <v>168</v>
      </c>
      <c r="C34" s="8">
        <v>50</v>
      </c>
      <c r="D34" s="1" t="s">
        <v>164</v>
      </c>
      <c r="E34" s="1" t="s">
        <v>0</v>
      </c>
      <c r="F34" s="9">
        <v>2000</v>
      </c>
      <c r="G34" s="80">
        <f t="shared" si="0"/>
        <v>2.5000000000000001E-2</v>
      </c>
      <c r="H34" s="28"/>
      <c r="I34" s="328"/>
      <c r="J34" s="317"/>
      <c r="K34" s="317"/>
      <c r="L34" s="320"/>
      <c r="M34" s="318"/>
    </row>
    <row r="35" spans="2:16">
      <c r="B35" s="10" t="s">
        <v>165</v>
      </c>
      <c r="C35" s="11">
        <v>28</v>
      </c>
      <c r="D35" s="211" t="s">
        <v>166</v>
      </c>
      <c r="E35" s="211" t="s">
        <v>0</v>
      </c>
      <c r="F35" s="12">
        <v>50</v>
      </c>
      <c r="G35" s="80">
        <f t="shared" si="0"/>
        <v>0.56000000000000005</v>
      </c>
      <c r="H35" s="28"/>
      <c r="I35" s="328"/>
      <c r="J35" s="317"/>
      <c r="K35" s="317"/>
      <c r="L35" s="320"/>
      <c r="M35" s="318"/>
    </row>
    <row r="36" spans="2:16">
      <c r="B36" s="7"/>
      <c r="C36" s="8"/>
      <c r="D36" s="1"/>
      <c r="E36" s="1"/>
      <c r="F36" s="9"/>
      <c r="G36" s="80" t="str">
        <f t="shared" si="0"/>
        <v/>
      </c>
      <c r="H36" s="28"/>
      <c r="I36" s="328"/>
      <c r="J36" s="317"/>
      <c r="K36" s="317"/>
      <c r="L36" s="320"/>
      <c r="M36" s="318"/>
    </row>
    <row r="37" spans="2:16">
      <c r="B37" s="7"/>
      <c r="C37" s="8"/>
      <c r="D37" s="1"/>
      <c r="E37" s="1"/>
      <c r="F37" s="9"/>
      <c r="G37" s="80" t="str">
        <f t="shared" si="0"/>
        <v/>
      </c>
      <c r="H37" s="28"/>
      <c r="I37" s="328"/>
      <c r="J37" s="317"/>
      <c r="K37" s="317"/>
      <c r="L37" s="320"/>
      <c r="M37" s="318"/>
    </row>
    <row r="38" spans="2:16">
      <c r="B38" s="7"/>
      <c r="C38" s="8"/>
      <c r="D38" s="1"/>
      <c r="E38" s="1"/>
      <c r="F38" s="9"/>
      <c r="G38" s="80" t="str">
        <f t="shared" si="0"/>
        <v/>
      </c>
      <c r="H38" s="28"/>
      <c r="I38" s="328"/>
      <c r="J38" s="317"/>
      <c r="K38" s="317"/>
      <c r="L38" s="320"/>
      <c r="M38" s="318"/>
    </row>
    <row r="39" spans="2:16">
      <c r="B39" s="7"/>
      <c r="C39" s="8"/>
      <c r="D39" s="1"/>
      <c r="E39" s="1"/>
      <c r="F39" s="9"/>
      <c r="G39" s="80" t="str">
        <f t="shared" si="0"/>
        <v/>
      </c>
      <c r="H39" s="28"/>
      <c r="I39" s="328"/>
      <c r="J39" s="317"/>
      <c r="K39" s="317"/>
      <c r="L39" s="320"/>
      <c r="M39" s="318"/>
    </row>
    <row r="40" spans="2:16">
      <c r="B40" s="7"/>
      <c r="C40" s="8"/>
      <c r="D40" s="1"/>
      <c r="E40" s="1"/>
      <c r="F40" s="9"/>
      <c r="G40" s="80" t="str">
        <f t="shared" si="0"/>
        <v/>
      </c>
      <c r="H40" s="28"/>
      <c r="I40" s="328"/>
      <c r="J40" s="317"/>
      <c r="K40" s="317"/>
      <c r="L40" s="320"/>
      <c r="M40" s="318"/>
    </row>
    <row r="41" spans="2:16">
      <c r="B41" s="7"/>
      <c r="C41" s="8"/>
      <c r="D41" s="1"/>
      <c r="E41" s="1"/>
      <c r="F41" s="9"/>
      <c r="G41" s="80" t="str">
        <f t="shared" si="0"/>
        <v/>
      </c>
      <c r="H41" s="28"/>
      <c r="I41" s="328"/>
      <c r="J41" s="317"/>
      <c r="K41" s="317"/>
      <c r="L41" s="320"/>
      <c r="M41" s="318"/>
    </row>
    <row r="42" spans="2:16" ht="13.5" thickBot="1">
      <c r="B42" s="29"/>
      <c r="C42" s="29"/>
      <c r="D42" s="29"/>
      <c r="E42" s="29"/>
      <c r="F42" s="29"/>
      <c r="G42" s="29"/>
      <c r="H42" s="28"/>
      <c r="I42" s="318"/>
      <c r="N42" s="312"/>
      <c r="O42" s="312"/>
      <c r="P42" s="312"/>
    </row>
    <row r="43" spans="2:16" ht="18.75" thickBot="1">
      <c r="B43" s="27" t="s">
        <v>34</v>
      </c>
      <c r="C43" s="36"/>
      <c r="D43" s="36"/>
      <c r="E43" s="36"/>
      <c r="F43" s="37"/>
      <c r="G43" s="29"/>
      <c r="H43" s="198"/>
      <c r="I43" s="329"/>
      <c r="N43" s="312"/>
      <c r="O43" s="312"/>
      <c r="P43" s="312"/>
    </row>
    <row r="44" spans="2:16" ht="55.5" customHeight="1" thickBot="1">
      <c r="B44" s="41" t="s">
        <v>9</v>
      </c>
      <c r="C44" s="42" t="s">
        <v>35</v>
      </c>
      <c r="D44" s="42" t="s">
        <v>129</v>
      </c>
      <c r="E44" s="42" t="s">
        <v>160</v>
      </c>
      <c r="F44" s="43" t="s">
        <v>36</v>
      </c>
      <c r="G44" s="44"/>
      <c r="I44" s="330"/>
      <c r="J44" s="321"/>
      <c r="N44" s="312"/>
      <c r="O44" s="312"/>
      <c r="P44" s="312"/>
    </row>
    <row r="45" spans="2:16" ht="13.5" thickTop="1">
      <c r="B45" s="45" t="s">
        <v>13</v>
      </c>
      <c r="C45" s="25">
        <v>3650</v>
      </c>
      <c r="D45" s="325" t="s">
        <v>127</v>
      </c>
      <c r="E45" s="17">
        <v>1</v>
      </c>
      <c r="F45" s="46">
        <f>IF(E45="","",1-E45)</f>
        <v>0</v>
      </c>
      <c r="G45" s="47"/>
      <c r="H45" s="28"/>
      <c r="I45" s="348" t="s">
        <v>128</v>
      </c>
      <c r="J45" s="318"/>
      <c r="N45" s="312"/>
      <c r="O45" s="312"/>
      <c r="P45" s="312"/>
    </row>
    <row r="46" spans="2:16">
      <c r="B46" s="45" t="s">
        <v>14</v>
      </c>
      <c r="C46" s="26">
        <v>600</v>
      </c>
      <c r="D46" s="325" t="s">
        <v>127</v>
      </c>
      <c r="E46" s="18">
        <v>1</v>
      </c>
      <c r="F46" s="46">
        <f t="shared" ref="F46:F59" si="1">IF(E46="","",1-E46)</f>
        <v>0</v>
      </c>
      <c r="G46" s="47"/>
      <c r="H46" s="29"/>
      <c r="I46" s="348" t="s">
        <v>127</v>
      </c>
      <c r="J46" s="318"/>
    </row>
    <row r="47" spans="2:16">
      <c r="B47" s="45" t="s">
        <v>15</v>
      </c>
      <c r="C47" s="26">
        <v>600</v>
      </c>
      <c r="D47" s="325" t="s">
        <v>127</v>
      </c>
      <c r="E47" s="18">
        <v>1</v>
      </c>
      <c r="F47" s="46">
        <f t="shared" si="1"/>
        <v>0</v>
      </c>
      <c r="G47" s="47"/>
      <c r="H47" s="29"/>
      <c r="I47" s="318"/>
      <c r="J47" s="318"/>
    </row>
    <row r="48" spans="2:16">
      <c r="B48" s="45" t="s">
        <v>100</v>
      </c>
      <c r="C48" s="26">
        <v>2.5</v>
      </c>
      <c r="D48" s="325" t="s">
        <v>128</v>
      </c>
      <c r="E48" s="48">
        <v>1</v>
      </c>
      <c r="F48" s="46">
        <f t="shared" si="1"/>
        <v>0</v>
      </c>
      <c r="G48" s="47"/>
      <c r="H48" s="29"/>
      <c r="I48" s="318"/>
      <c r="J48" s="318"/>
    </row>
    <row r="49" spans="2:14">
      <c r="B49" s="45" t="s">
        <v>101</v>
      </c>
      <c r="C49" s="26"/>
      <c r="D49" s="325"/>
      <c r="E49" s="48">
        <v>0</v>
      </c>
      <c r="F49" s="46">
        <f t="shared" si="1"/>
        <v>1</v>
      </c>
      <c r="G49" s="47"/>
      <c r="I49" s="318"/>
      <c r="J49" s="318"/>
    </row>
    <row r="50" spans="2:14">
      <c r="B50" s="45" t="s">
        <v>102</v>
      </c>
      <c r="C50" s="26">
        <v>2.5</v>
      </c>
      <c r="D50" s="325" t="s">
        <v>128</v>
      </c>
      <c r="E50" s="48">
        <v>1</v>
      </c>
      <c r="F50" s="46">
        <f t="shared" si="1"/>
        <v>0</v>
      </c>
      <c r="G50" s="47"/>
      <c r="H50" s="29"/>
      <c r="I50" s="318"/>
      <c r="J50" s="318"/>
    </row>
    <row r="51" spans="2:14">
      <c r="B51" s="45" t="s">
        <v>103</v>
      </c>
      <c r="C51" s="26">
        <v>2.5</v>
      </c>
      <c r="D51" s="325" t="s">
        <v>128</v>
      </c>
      <c r="E51" s="48">
        <v>1</v>
      </c>
      <c r="F51" s="46">
        <f t="shared" si="1"/>
        <v>0</v>
      </c>
      <c r="G51" s="47"/>
      <c r="I51" s="318"/>
      <c r="J51" s="318"/>
    </row>
    <row r="52" spans="2:14">
      <c r="B52" s="4" t="s">
        <v>167</v>
      </c>
      <c r="C52" s="8">
        <v>1</v>
      </c>
      <c r="D52" s="325" t="s">
        <v>128</v>
      </c>
      <c r="E52" s="18">
        <v>1</v>
      </c>
      <c r="F52" s="46">
        <f t="shared" si="1"/>
        <v>0</v>
      </c>
      <c r="G52" s="47"/>
      <c r="H52" s="29"/>
      <c r="I52" s="318"/>
      <c r="J52" s="318"/>
    </row>
    <row r="53" spans="2:14">
      <c r="B53" s="4"/>
      <c r="C53" s="8"/>
      <c r="D53" s="325"/>
      <c r="E53" s="18"/>
      <c r="F53" s="46" t="str">
        <f t="shared" si="1"/>
        <v/>
      </c>
      <c r="G53" s="47"/>
      <c r="H53" s="29"/>
      <c r="I53" s="318"/>
      <c r="J53" s="318"/>
    </row>
    <row r="54" spans="2:14">
      <c r="B54" s="7"/>
      <c r="C54" s="8"/>
      <c r="D54" s="325"/>
      <c r="E54" s="18"/>
      <c r="F54" s="46" t="str">
        <f t="shared" si="1"/>
        <v/>
      </c>
      <c r="G54" s="47"/>
      <c r="H54" s="29"/>
      <c r="I54" s="318"/>
      <c r="J54" s="318"/>
    </row>
    <row r="55" spans="2:14">
      <c r="B55" s="7"/>
      <c r="C55" s="8"/>
      <c r="D55" s="325"/>
      <c r="E55" s="18"/>
      <c r="F55" s="46" t="str">
        <f t="shared" si="1"/>
        <v/>
      </c>
      <c r="G55" s="47"/>
      <c r="H55" s="29"/>
      <c r="I55" s="318"/>
      <c r="J55" s="318"/>
    </row>
    <row r="56" spans="2:14">
      <c r="B56" s="7"/>
      <c r="C56" s="8"/>
      <c r="D56" s="325"/>
      <c r="E56" s="18"/>
      <c r="F56" s="46" t="str">
        <f t="shared" si="1"/>
        <v/>
      </c>
      <c r="G56" s="47"/>
      <c r="H56" s="29"/>
      <c r="I56" s="318"/>
      <c r="J56" s="318"/>
    </row>
    <row r="57" spans="2:14">
      <c r="B57" s="7"/>
      <c r="C57" s="8"/>
      <c r="D57" s="325"/>
      <c r="E57" s="18"/>
      <c r="F57" s="46" t="str">
        <f t="shared" si="1"/>
        <v/>
      </c>
      <c r="G57" s="47"/>
      <c r="H57" s="29"/>
      <c r="I57" s="318"/>
      <c r="J57" s="318"/>
    </row>
    <row r="58" spans="2:14">
      <c r="B58" s="7"/>
      <c r="C58" s="8"/>
      <c r="D58" s="325"/>
      <c r="E58" s="18"/>
      <c r="F58" s="46" t="str">
        <f t="shared" si="1"/>
        <v/>
      </c>
      <c r="G58" s="47"/>
      <c r="H58" s="29"/>
      <c r="I58" s="318"/>
      <c r="J58" s="318"/>
    </row>
    <row r="59" spans="2:14" ht="13.5" thickBot="1">
      <c r="B59" s="13"/>
      <c r="C59" s="14"/>
      <c r="D59" s="325"/>
      <c r="E59" s="135"/>
      <c r="F59" s="49" t="str">
        <f t="shared" si="1"/>
        <v/>
      </c>
      <c r="G59" s="47"/>
      <c r="H59" s="29"/>
      <c r="I59" s="318"/>
      <c r="J59" s="318"/>
    </row>
    <row r="60" spans="2:14" ht="13.5" thickBot="1">
      <c r="B60" s="28"/>
      <c r="C60" s="28"/>
      <c r="D60" s="28"/>
      <c r="E60" s="28"/>
      <c r="F60" s="28"/>
      <c r="G60" s="28"/>
      <c r="H60" s="28"/>
      <c r="I60" s="318"/>
    </row>
    <row r="61" spans="2:14" ht="18.75" thickBot="1">
      <c r="B61" s="50" t="s">
        <v>16</v>
      </c>
      <c r="C61" s="51"/>
      <c r="D61" s="51"/>
      <c r="E61" s="51"/>
      <c r="F61" s="52"/>
      <c r="G61" s="36"/>
      <c r="H61" s="37"/>
      <c r="I61" s="331"/>
      <c r="J61" s="322"/>
      <c r="L61" s="318"/>
      <c r="M61" s="318"/>
      <c r="N61" s="318"/>
    </row>
    <row r="62" spans="2:14" ht="52.5" customHeight="1" thickBot="1">
      <c r="B62" s="41" t="s">
        <v>9</v>
      </c>
      <c r="C62" s="42" t="s">
        <v>17</v>
      </c>
      <c r="D62" s="42" t="s">
        <v>18</v>
      </c>
      <c r="E62" s="42" t="s">
        <v>37</v>
      </c>
      <c r="F62" s="53" t="s">
        <v>19</v>
      </c>
      <c r="G62" s="42" t="s">
        <v>104</v>
      </c>
      <c r="H62" s="43" t="s">
        <v>36</v>
      </c>
      <c r="I62" s="323"/>
      <c r="J62" s="323"/>
    </row>
    <row r="63" spans="2:14" ht="13.5" thickTop="1">
      <c r="B63" s="45" t="s">
        <v>105</v>
      </c>
      <c r="C63" s="59"/>
      <c r="D63" s="21"/>
      <c r="E63" s="140">
        <v>5</v>
      </c>
      <c r="F63" s="167">
        <v>600</v>
      </c>
      <c r="G63" s="166">
        <v>1</v>
      </c>
      <c r="H63" s="144">
        <f t="shared" ref="H63:H71" si="2">IF(G63="","",1-G63)</f>
        <v>0</v>
      </c>
      <c r="I63" s="324"/>
      <c r="J63" s="324"/>
    </row>
    <row r="64" spans="2:14">
      <c r="B64" s="45" t="s">
        <v>21</v>
      </c>
      <c r="C64" s="60"/>
      <c r="D64" s="16"/>
      <c r="E64" s="1">
        <v>5</v>
      </c>
      <c r="F64" s="16"/>
      <c r="G64" s="166">
        <v>0</v>
      </c>
      <c r="H64" s="144">
        <f t="shared" si="2"/>
        <v>1</v>
      </c>
      <c r="I64" s="324"/>
      <c r="J64" s="324"/>
    </row>
    <row r="65" spans="2:10">
      <c r="B65" s="54" t="s">
        <v>106</v>
      </c>
      <c r="C65" s="60"/>
      <c r="D65" s="16"/>
      <c r="E65" s="1">
        <v>5</v>
      </c>
      <c r="F65" s="16">
        <v>600</v>
      </c>
      <c r="G65" s="166">
        <v>1</v>
      </c>
      <c r="H65" s="144">
        <f t="shared" si="2"/>
        <v>0</v>
      </c>
      <c r="I65" s="324"/>
      <c r="J65" s="324"/>
    </row>
    <row r="66" spans="2:10">
      <c r="B66" s="55" t="s">
        <v>22</v>
      </c>
      <c r="C66" s="60"/>
      <c r="D66" s="16"/>
      <c r="E66" s="1">
        <v>5</v>
      </c>
      <c r="F66" s="16"/>
      <c r="G66" s="166">
        <v>0</v>
      </c>
      <c r="H66" s="144">
        <f t="shared" si="2"/>
        <v>1</v>
      </c>
      <c r="I66" s="324"/>
      <c r="J66" s="324"/>
    </row>
    <row r="67" spans="2:10">
      <c r="B67" s="4"/>
      <c r="C67" s="16"/>
      <c r="D67" s="16"/>
      <c r="E67" s="1"/>
      <c r="F67" s="16"/>
      <c r="G67" s="2"/>
      <c r="H67" s="144" t="str">
        <f t="shared" si="2"/>
        <v/>
      </c>
      <c r="I67" s="324"/>
      <c r="J67" s="324"/>
    </row>
    <row r="68" spans="2:10">
      <c r="B68" s="7"/>
      <c r="C68" s="16"/>
      <c r="D68" s="16"/>
      <c r="E68" s="1"/>
      <c r="F68" s="19"/>
      <c r="G68" s="2"/>
      <c r="H68" s="144" t="str">
        <f t="shared" si="2"/>
        <v/>
      </c>
      <c r="I68" s="324"/>
      <c r="J68" s="324"/>
    </row>
    <row r="69" spans="2:10">
      <c r="B69" s="7"/>
      <c r="C69" s="16"/>
      <c r="D69" s="16"/>
      <c r="E69" s="1"/>
      <c r="F69" s="19"/>
      <c r="G69" s="2"/>
      <c r="H69" s="144" t="str">
        <f t="shared" si="2"/>
        <v/>
      </c>
      <c r="I69" s="324"/>
      <c r="J69" s="324"/>
    </row>
    <row r="70" spans="2:10">
      <c r="B70" s="7"/>
      <c r="C70" s="16"/>
      <c r="D70" s="16"/>
      <c r="E70" s="1"/>
      <c r="F70" s="19"/>
      <c r="G70" s="2"/>
      <c r="H70" s="144" t="str">
        <f t="shared" si="2"/>
        <v/>
      </c>
      <c r="I70" s="324"/>
      <c r="J70" s="324"/>
    </row>
    <row r="71" spans="2:10" ht="13.5" thickBot="1">
      <c r="B71" s="13"/>
      <c r="C71" s="22"/>
      <c r="D71" s="22"/>
      <c r="E71" s="3"/>
      <c r="F71" s="20"/>
      <c r="G71" s="141"/>
      <c r="H71" s="146" t="str">
        <f t="shared" si="2"/>
        <v/>
      </c>
      <c r="I71" s="324"/>
      <c r="J71" s="324"/>
    </row>
    <row r="72" spans="2:10" ht="13.5" thickBot="1">
      <c r="B72" s="28"/>
      <c r="C72" s="28"/>
      <c r="D72" s="28"/>
      <c r="E72" s="28"/>
      <c r="F72" s="28"/>
      <c r="G72" s="29"/>
      <c r="H72" s="29"/>
      <c r="I72" s="318"/>
    </row>
    <row r="73" spans="2:10" ht="18.75" thickBot="1">
      <c r="B73" s="56" t="s">
        <v>23</v>
      </c>
      <c r="C73" s="57"/>
      <c r="D73" s="58"/>
      <c r="E73" s="28"/>
      <c r="F73" s="28"/>
      <c r="G73" s="29"/>
      <c r="H73" s="28"/>
    </row>
    <row r="74" spans="2:10">
      <c r="B74" s="373" t="s">
        <v>24</v>
      </c>
      <c r="C74" s="374"/>
      <c r="D74" s="24">
        <v>0.06</v>
      </c>
      <c r="E74" s="28"/>
      <c r="F74" s="28"/>
      <c r="G74" s="29"/>
      <c r="H74" s="28"/>
      <c r="I74" s="318"/>
    </row>
    <row r="75" spans="2:10" ht="13.5" thickBot="1">
      <c r="B75" s="375" t="s">
        <v>25</v>
      </c>
      <c r="C75" s="376"/>
      <c r="D75" s="15">
        <v>0.03</v>
      </c>
      <c r="E75" s="28"/>
      <c r="F75" s="28"/>
      <c r="G75" s="29"/>
      <c r="H75" s="28"/>
      <c r="I75" s="318"/>
    </row>
    <row r="76" spans="2:10" ht="13.5" thickBot="1">
      <c r="B76" s="28"/>
      <c r="C76" s="28"/>
      <c r="D76" s="28"/>
      <c r="E76" s="28"/>
      <c r="F76" s="28"/>
      <c r="G76" s="29"/>
      <c r="H76" s="28"/>
      <c r="I76" s="318"/>
    </row>
    <row r="77" spans="2:10" ht="52.5" thickBot="1">
      <c r="B77" s="27" t="s">
        <v>69</v>
      </c>
      <c r="C77" s="36"/>
      <c r="D77" s="36"/>
      <c r="E77" s="37"/>
      <c r="F77" s="215" t="s">
        <v>104</v>
      </c>
      <c r="G77" s="43" t="s">
        <v>36</v>
      </c>
      <c r="H77" s="28"/>
      <c r="I77" s="318"/>
    </row>
    <row r="78" spans="2:10" ht="13.5" thickTop="1">
      <c r="B78" s="377" t="s">
        <v>26</v>
      </c>
      <c r="C78" s="378"/>
      <c r="D78" s="143">
        <v>12500</v>
      </c>
      <c r="E78" s="38"/>
      <c r="F78" s="214">
        <v>1</v>
      </c>
      <c r="G78" s="144">
        <f t="shared" ref="G78:G83" si="3">IF(F78="","",1-F78)</f>
        <v>0</v>
      </c>
      <c r="H78" s="28"/>
      <c r="I78" s="318"/>
    </row>
    <row r="79" spans="2:10">
      <c r="B79" s="373" t="s">
        <v>27</v>
      </c>
      <c r="C79" s="374"/>
      <c r="D79" s="16">
        <v>170</v>
      </c>
      <c r="E79" s="29" t="s">
        <v>28</v>
      </c>
      <c r="F79" s="214">
        <v>1</v>
      </c>
      <c r="G79" s="144">
        <f t="shared" si="3"/>
        <v>0</v>
      </c>
      <c r="H79" s="28"/>
      <c r="I79" s="318"/>
    </row>
    <row r="80" spans="2:10">
      <c r="B80" s="111" t="s">
        <v>29</v>
      </c>
      <c r="C80" s="112"/>
      <c r="D80" s="16"/>
      <c r="E80" s="29" t="s">
        <v>28</v>
      </c>
      <c r="F80" s="214">
        <v>1</v>
      </c>
      <c r="G80" s="144">
        <f t="shared" si="3"/>
        <v>0</v>
      </c>
      <c r="H80" s="28"/>
      <c r="I80" s="318"/>
    </row>
    <row r="81" spans="2:9">
      <c r="B81" s="111" t="s">
        <v>30</v>
      </c>
      <c r="C81" s="112"/>
      <c r="D81" s="16">
        <v>300</v>
      </c>
      <c r="E81" s="29" t="s">
        <v>28</v>
      </c>
      <c r="F81" s="214">
        <v>1</v>
      </c>
      <c r="G81" s="144">
        <f t="shared" si="3"/>
        <v>0</v>
      </c>
      <c r="H81" s="28"/>
      <c r="I81" s="318"/>
    </row>
    <row r="82" spans="2:9">
      <c r="B82" s="111" t="s">
        <v>31</v>
      </c>
      <c r="C82" s="112"/>
      <c r="D82" s="16"/>
      <c r="E82" s="29" t="s">
        <v>28</v>
      </c>
      <c r="F82" s="142"/>
      <c r="G82" s="144" t="str">
        <f t="shared" si="3"/>
        <v/>
      </c>
      <c r="H82" s="28"/>
      <c r="I82" s="318"/>
    </row>
    <row r="83" spans="2:9" ht="13.5" thickBot="1">
      <c r="B83" s="113" t="s">
        <v>32</v>
      </c>
      <c r="C83" s="114"/>
      <c r="D83" s="22"/>
      <c r="E83" s="145" t="s">
        <v>28</v>
      </c>
      <c r="F83" s="165"/>
      <c r="G83" s="146" t="str">
        <f t="shared" si="3"/>
        <v/>
      </c>
      <c r="H83" s="28"/>
      <c r="I83" s="318"/>
    </row>
    <row r="84" spans="2:9" s="313" customFormat="1"/>
    <row r="85" spans="2:9" s="313" customFormat="1"/>
    <row r="86" spans="2:9" s="313" customFormat="1"/>
    <row r="87" spans="2:9" s="313" customFormat="1"/>
    <row r="88" spans="2:9" s="313" customFormat="1"/>
    <row r="89" spans="2:9" s="313" customFormat="1"/>
    <row r="90" spans="2:9" s="313" customFormat="1"/>
    <row r="91" spans="2:9" s="313" customFormat="1"/>
    <row r="92" spans="2:9" s="313" customFormat="1"/>
    <row r="93" spans="2:9" s="313" customFormat="1"/>
    <row r="94" spans="2:9" s="313" customFormat="1"/>
    <row r="95" spans="2:9" s="313" customFormat="1"/>
    <row r="96" spans="2:9" s="313" customFormat="1"/>
    <row r="97" s="313" customFormat="1"/>
    <row r="98" s="313" customFormat="1"/>
    <row r="99" s="313" customFormat="1"/>
    <row r="100" s="313" customFormat="1"/>
    <row r="101" s="313" customFormat="1"/>
    <row r="102" s="313" customFormat="1"/>
    <row r="103" s="313" customFormat="1"/>
    <row r="104" s="313" customFormat="1"/>
    <row r="105" s="313" customFormat="1"/>
    <row r="106" s="313" customFormat="1"/>
    <row r="107" s="313" customFormat="1"/>
    <row r="108" s="313" customFormat="1"/>
    <row r="109" s="313" customFormat="1"/>
    <row r="110" s="313" customFormat="1"/>
    <row r="111" s="313" customFormat="1"/>
    <row r="112" s="313" customFormat="1"/>
    <row r="113" s="313" customFormat="1"/>
    <row r="114" s="313" customFormat="1"/>
    <row r="115" s="313" customFormat="1"/>
    <row r="116" s="313" customFormat="1"/>
    <row r="117" s="313" customFormat="1"/>
    <row r="118" s="313" customFormat="1"/>
    <row r="119" s="313" customFormat="1"/>
    <row r="120" s="313" customFormat="1"/>
    <row r="121" s="313" customFormat="1"/>
    <row r="122" s="313" customFormat="1"/>
    <row r="123" s="313" customFormat="1"/>
    <row r="124" s="313" customFormat="1"/>
    <row r="125" s="313" customFormat="1"/>
    <row r="126" s="313" customFormat="1"/>
    <row r="127" s="313" customFormat="1"/>
    <row r="128" s="313" customFormat="1"/>
    <row r="129" s="313" customFormat="1"/>
    <row r="130" s="313" customFormat="1"/>
    <row r="131" s="313" customFormat="1"/>
    <row r="132" s="313" customFormat="1"/>
    <row r="133" s="313" customFormat="1"/>
    <row r="134" s="313" customFormat="1"/>
    <row r="135" s="313" customFormat="1"/>
    <row r="136" s="313" customFormat="1"/>
    <row r="137" s="313" customFormat="1"/>
    <row r="138" s="313" customFormat="1"/>
    <row r="139" s="313" customFormat="1"/>
    <row r="140" s="313" customFormat="1"/>
    <row r="141" s="313" customFormat="1"/>
    <row r="142" s="313" customFormat="1"/>
    <row r="143" s="313" customFormat="1"/>
    <row r="144" s="313" customFormat="1"/>
    <row r="145" s="313" customFormat="1"/>
    <row r="146" s="313" customFormat="1"/>
    <row r="147" s="313" customFormat="1"/>
    <row r="148" s="313" customFormat="1"/>
    <row r="149" s="313" customFormat="1"/>
    <row r="150" s="313" customFormat="1"/>
    <row r="151" s="313" customFormat="1"/>
    <row r="152" s="313" customFormat="1"/>
    <row r="153" s="313" customFormat="1"/>
    <row r="154" s="313" customFormat="1"/>
    <row r="155" s="313" customFormat="1"/>
    <row r="156" s="313" customFormat="1"/>
    <row r="157" s="313" customFormat="1"/>
    <row r="158" s="313" customFormat="1"/>
    <row r="159" s="313" customFormat="1"/>
    <row r="160" s="313" customFormat="1"/>
    <row r="161" s="313" customFormat="1"/>
    <row r="162" s="313" customFormat="1"/>
    <row r="163" s="313" customFormat="1"/>
    <row r="164" s="313" customFormat="1"/>
    <row r="165" s="313" customFormat="1"/>
    <row r="166" s="313" customFormat="1"/>
    <row r="167" s="313" customFormat="1"/>
    <row r="168" s="313" customFormat="1"/>
    <row r="169" s="313" customFormat="1"/>
    <row r="170" s="313" customFormat="1"/>
    <row r="171" s="313" customFormat="1"/>
    <row r="172" s="313" customFormat="1"/>
    <row r="173" s="313" customFormat="1"/>
    <row r="174" s="313" customFormat="1"/>
    <row r="175" s="313" customFormat="1"/>
    <row r="176" s="313" customFormat="1"/>
    <row r="177" spans="1:19" s="313" customFormat="1"/>
    <row r="178" spans="1:19" s="202" customFormat="1">
      <c r="A178" s="313"/>
      <c r="I178" s="313"/>
      <c r="J178" s="313"/>
      <c r="K178" s="313"/>
      <c r="L178" s="313"/>
      <c r="M178" s="313"/>
      <c r="N178" s="313"/>
      <c r="O178" s="313"/>
      <c r="P178" s="313"/>
      <c r="Q178" s="313"/>
      <c r="R178" s="313"/>
      <c r="S178" s="313"/>
    </row>
    <row r="179" spans="1:19" s="202" customFormat="1">
      <c r="A179" s="313"/>
      <c r="I179" s="313"/>
      <c r="J179" s="313"/>
      <c r="K179" s="313"/>
      <c r="L179" s="313"/>
      <c r="M179" s="313"/>
      <c r="N179" s="313"/>
      <c r="O179" s="313"/>
      <c r="P179" s="313"/>
      <c r="Q179" s="313"/>
      <c r="R179" s="313"/>
      <c r="S179" s="313"/>
    </row>
    <row r="180" spans="1:19" s="202" customFormat="1">
      <c r="A180" s="313"/>
      <c r="I180" s="313"/>
      <c r="J180" s="313"/>
      <c r="K180" s="313"/>
      <c r="L180" s="313"/>
      <c r="M180" s="313"/>
      <c r="N180" s="313"/>
      <c r="O180" s="313"/>
      <c r="P180" s="313"/>
      <c r="Q180" s="313"/>
      <c r="R180" s="313"/>
      <c r="S180" s="313"/>
    </row>
    <row r="181" spans="1:19" s="202" customFormat="1">
      <c r="A181" s="313"/>
      <c r="I181" s="313"/>
      <c r="J181" s="313"/>
      <c r="K181" s="313"/>
      <c r="L181" s="313"/>
      <c r="M181" s="313"/>
      <c r="N181" s="313"/>
      <c r="O181" s="313"/>
      <c r="P181" s="313"/>
      <c r="Q181" s="313"/>
      <c r="R181" s="313"/>
      <c r="S181" s="313"/>
    </row>
    <row r="182" spans="1:19" s="202" customFormat="1">
      <c r="A182" s="313"/>
      <c r="I182" s="313"/>
      <c r="J182" s="313"/>
      <c r="K182" s="313"/>
      <c r="L182" s="313"/>
      <c r="M182" s="313"/>
      <c r="N182" s="313"/>
      <c r="O182" s="313"/>
      <c r="P182" s="313"/>
      <c r="Q182" s="313"/>
      <c r="R182" s="313"/>
      <c r="S182" s="313"/>
    </row>
    <row r="183" spans="1:19" s="202" customFormat="1">
      <c r="A183" s="313"/>
      <c r="I183" s="313"/>
      <c r="J183" s="313"/>
      <c r="K183" s="313"/>
      <c r="L183" s="313"/>
      <c r="M183" s="313"/>
      <c r="N183" s="313"/>
      <c r="O183" s="313"/>
      <c r="P183" s="313"/>
      <c r="Q183" s="313"/>
      <c r="R183" s="313"/>
      <c r="S183" s="313"/>
    </row>
    <row r="184" spans="1:19" s="202" customFormat="1">
      <c r="A184" s="313"/>
      <c r="I184" s="313"/>
      <c r="J184" s="313"/>
      <c r="K184" s="313"/>
      <c r="L184" s="313"/>
      <c r="M184" s="313"/>
      <c r="N184" s="313"/>
      <c r="O184" s="313"/>
      <c r="P184" s="313"/>
      <c r="Q184" s="313"/>
      <c r="R184" s="313"/>
      <c r="S184" s="313"/>
    </row>
    <row r="185" spans="1:19" s="202" customFormat="1">
      <c r="A185" s="313"/>
      <c r="I185" s="313"/>
      <c r="J185" s="313"/>
      <c r="K185" s="313"/>
      <c r="L185" s="313"/>
      <c r="M185" s="313"/>
      <c r="N185" s="313"/>
      <c r="O185" s="313"/>
      <c r="P185" s="313"/>
      <c r="Q185" s="313"/>
      <c r="R185" s="313"/>
      <c r="S185" s="313"/>
    </row>
    <row r="186" spans="1:19" s="202" customFormat="1">
      <c r="A186" s="313"/>
      <c r="I186" s="313"/>
      <c r="J186" s="313"/>
      <c r="K186" s="313"/>
      <c r="L186" s="313"/>
      <c r="M186" s="313"/>
      <c r="N186" s="313"/>
      <c r="O186" s="313"/>
      <c r="P186" s="313"/>
      <c r="Q186" s="313"/>
      <c r="R186" s="313"/>
      <c r="S186" s="313"/>
    </row>
    <row r="187" spans="1:19" s="202" customFormat="1">
      <c r="A187" s="313"/>
      <c r="I187" s="313"/>
      <c r="J187" s="313"/>
      <c r="K187" s="313"/>
      <c r="L187" s="313"/>
      <c r="M187" s="313"/>
      <c r="N187" s="313"/>
      <c r="O187" s="313"/>
      <c r="P187" s="313"/>
      <c r="Q187" s="313"/>
      <c r="R187" s="313"/>
      <c r="S187" s="313"/>
    </row>
    <row r="188" spans="1:19" s="202" customFormat="1">
      <c r="A188" s="313"/>
      <c r="I188" s="313"/>
      <c r="J188" s="313"/>
      <c r="K188" s="313"/>
      <c r="L188" s="313"/>
      <c r="M188" s="313"/>
      <c r="N188" s="313"/>
      <c r="O188" s="313"/>
      <c r="P188" s="313"/>
      <c r="Q188" s="313"/>
      <c r="R188" s="313"/>
      <c r="S188" s="313"/>
    </row>
    <row r="189" spans="1:19" s="202" customFormat="1">
      <c r="A189" s="313"/>
      <c r="I189" s="313"/>
      <c r="J189" s="313"/>
      <c r="K189" s="313"/>
      <c r="L189" s="313"/>
      <c r="M189" s="313"/>
      <c r="N189" s="313"/>
      <c r="O189" s="313"/>
      <c r="P189" s="313"/>
      <c r="Q189" s="313"/>
      <c r="R189" s="313"/>
      <c r="S189" s="313"/>
    </row>
    <row r="190" spans="1:19" s="202" customFormat="1">
      <c r="A190" s="313"/>
      <c r="I190" s="313"/>
      <c r="J190" s="313"/>
      <c r="K190" s="313"/>
      <c r="L190" s="313"/>
      <c r="M190" s="313"/>
      <c r="N190" s="313"/>
      <c r="O190" s="313"/>
      <c r="P190" s="313"/>
      <c r="Q190" s="313"/>
      <c r="R190" s="313"/>
      <c r="S190" s="313"/>
    </row>
    <row r="191" spans="1:19" s="202" customFormat="1">
      <c r="A191" s="313"/>
      <c r="I191" s="313"/>
      <c r="J191" s="313"/>
      <c r="K191" s="313"/>
      <c r="L191" s="313"/>
      <c r="M191" s="313"/>
      <c r="N191" s="313"/>
      <c r="O191" s="313"/>
      <c r="P191" s="313"/>
      <c r="Q191" s="313"/>
      <c r="R191" s="313"/>
      <c r="S191" s="313"/>
    </row>
    <row r="192" spans="1:19" s="202" customFormat="1">
      <c r="A192" s="313"/>
      <c r="I192" s="313"/>
      <c r="J192" s="313"/>
      <c r="K192" s="313"/>
      <c r="L192" s="313"/>
      <c r="M192" s="313"/>
      <c r="N192" s="313"/>
      <c r="O192" s="313"/>
      <c r="P192" s="313"/>
      <c r="Q192" s="313"/>
      <c r="R192" s="313"/>
      <c r="S192" s="313"/>
    </row>
    <row r="193" spans="1:19" s="202" customFormat="1">
      <c r="A193" s="313"/>
      <c r="I193" s="313"/>
      <c r="J193" s="313"/>
      <c r="K193" s="313"/>
      <c r="L193" s="313"/>
      <c r="M193" s="313"/>
      <c r="N193" s="313"/>
      <c r="O193" s="313"/>
      <c r="P193" s="313"/>
      <c r="Q193" s="313"/>
      <c r="R193" s="313"/>
      <c r="S193" s="313"/>
    </row>
    <row r="194" spans="1:19" s="202" customFormat="1">
      <c r="A194" s="313"/>
      <c r="I194" s="313"/>
      <c r="J194" s="313"/>
      <c r="K194" s="313"/>
      <c r="L194" s="313"/>
      <c r="M194" s="313"/>
      <c r="N194" s="313"/>
      <c r="O194" s="313"/>
      <c r="P194" s="313"/>
      <c r="Q194" s="313"/>
      <c r="R194" s="313"/>
      <c r="S194" s="313"/>
    </row>
    <row r="195" spans="1:19" s="202" customFormat="1">
      <c r="A195" s="313"/>
      <c r="I195" s="313"/>
      <c r="J195" s="313"/>
      <c r="K195" s="313"/>
      <c r="L195" s="313"/>
      <c r="M195" s="313"/>
      <c r="N195" s="313"/>
      <c r="O195" s="313"/>
      <c r="P195" s="313"/>
      <c r="Q195" s="313"/>
      <c r="R195" s="313"/>
      <c r="S195" s="313"/>
    </row>
    <row r="196" spans="1:19" s="202" customFormat="1">
      <c r="A196" s="313"/>
      <c r="I196" s="313"/>
      <c r="J196" s="313"/>
      <c r="K196" s="313"/>
      <c r="L196" s="313"/>
      <c r="M196" s="313"/>
      <c r="N196" s="313"/>
      <c r="O196" s="313"/>
      <c r="P196" s="313"/>
      <c r="Q196" s="313"/>
      <c r="R196" s="313"/>
      <c r="S196" s="313"/>
    </row>
    <row r="197" spans="1:19" s="202" customFormat="1">
      <c r="A197" s="313"/>
      <c r="I197" s="313"/>
      <c r="J197" s="313"/>
      <c r="K197" s="313"/>
      <c r="L197" s="313"/>
      <c r="M197" s="313"/>
      <c r="N197" s="313"/>
      <c r="O197" s="313"/>
      <c r="P197" s="313"/>
      <c r="Q197" s="313"/>
      <c r="R197" s="313"/>
      <c r="S197" s="313"/>
    </row>
    <row r="198" spans="1:19" s="202" customFormat="1">
      <c r="A198" s="313"/>
      <c r="I198" s="313"/>
      <c r="J198" s="313"/>
      <c r="K198" s="313"/>
      <c r="L198" s="313"/>
      <c r="M198" s="313"/>
      <c r="N198" s="313"/>
      <c r="O198" s="313"/>
      <c r="P198" s="313"/>
      <c r="Q198" s="313"/>
      <c r="R198" s="313"/>
      <c r="S198" s="313"/>
    </row>
    <row r="199" spans="1:19" s="202" customFormat="1">
      <c r="A199" s="313"/>
      <c r="I199" s="313"/>
      <c r="J199" s="313"/>
      <c r="K199" s="313"/>
      <c r="L199" s="313"/>
      <c r="M199" s="313"/>
      <c r="N199" s="313"/>
      <c r="O199" s="313"/>
      <c r="P199" s="313"/>
      <c r="Q199" s="313"/>
      <c r="R199" s="313"/>
      <c r="S199" s="313"/>
    </row>
    <row r="200" spans="1:19" s="202" customFormat="1">
      <c r="A200" s="313"/>
      <c r="I200" s="313"/>
      <c r="J200" s="313"/>
      <c r="K200" s="313"/>
      <c r="L200" s="313"/>
      <c r="M200" s="313"/>
      <c r="N200" s="313"/>
      <c r="O200" s="313"/>
      <c r="P200" s="313"/>
      <c r="Q200" s="313"/>
      <c r="R200" s="313"/>
      <c r="S200" s="313"/>
    </row>
    <row r="201" spans="1:19" s="202" customFormat="1">
      <c r="A201" s="313"/>
      <c r="I201" s="313"/>
      <c r="J201" s="313"/>
      <c r="K201" s="313"/>
      <c r="L201" s="313"/>
      <c r="M201" s="313"/>
      <c r="N201" s="313"/>
      <c r="O201" s="313"/>
      <c r="P201" s="313"/>
      <c r="Q201" s="313"/>
      <c r="R201" s="313"/>
      <c r="S201" s="313"/>
    </row>
    <row r="202" spans="1:19" s="202" customFormat="1">
      <c r="A202" s="313"/>
      <c r="I202" s="313"/>
      <c r="J202" s="313"/>
      <c r="K202" s="313"/>
      <c r="L202" s="313"/>
      <c r="M202" s="313"/>
      <c r="N202" s="313"/>
      <c r="O202" s="313"/>
      <c r="P202" s="313"/>
      <c r="Q202" s="313"/>
      <c r="R202" s="313"/>
      <c r="S202" s="313"/>
    </row>
    <row r="203" spans="1:19" s="202" customFormat="1">
      <c r="A203" s="313"/>
      <c r="I203" s="313"/>
      <c r="J203" s="313"/>
      <c r="K203" s="313"/>
      <c r="L203" s="313"/>
      <c r="M203" s="313"/>
      <c r="N203" s="313"/>
      <c r="O203" s="313"/>
      <c r="P203" s="313"/>
      <c r="Q203" s="313"/>
      <c r="R203" s="313"/>
      <c r="S203" s="313"/>
    </row>
    <row r="204" spans="1:19" s="202" customFormat="1">
      <c r="A204" s="313"/>
      <c r="I204" s="313"/>
      <c r="J204" s="313"/>
      <c r="K204" s="313"/>
      <c r="L204" s="313"/>
      <c r="M204" s="313"/>
      <c r="N204" s="313"/>
      <c r="O204" s="313"/>
      <c r="P204" s="313"/>
      <c r="Q204" s="313"/>
      <c r="R204" s="313"/>
      <c r="S204" s="313"/>
    </row>
    <row r="205" spans="1:19" s="202" customFormat="1">
      <c r="A205" s="313"/>
      <c r="I205" s="313"/>
      <c r="J205" s="313"/>
      <c r="K205" s="313"/>
      <c r="L205" s="313"/>
      <c r="M205" s="313"/>
      <c r="N205" s="313"/>
      <c r="O205" s="313"/>
      <c r="P205" s="313"/>
      <c r="Q205" s="313"/>
      <c r="R205" s="313"/>
      <c r="S205" s="313"/>
    </row>
    <row r="206" spans="1:19" s="202" customFormat="1">
      <c r="A206" s="313"/>
      <c r="I206" s="313"/>
      <c r="J206" s="313"/>
      <c r="K206" s="313"/>
      <c r="L206" s="313"/>
      <c r="M206" s="313"/>
      <c r="N206" s="313"/>
      <c r="O206" s="313"/>
      <c r="P206" s="313"/>
      <c r="Q206" s="313"/>
      <c r="R206" s="313"/>
      <c r="S206" s="313"/>
    </row>
    <row r="207" spans="1:19" s="202" customFormat="1">
      <c r="A207" s="313"/>
      <c r="I207" s="313"/>
      <c r="J207" s="313"/>
      <c r="K207" s="313"/>
      <c r="L207" s="313"/>
      <c r="M207" s="313"/>
      <c r="N207" s="313"/>
      <c r="O207" s="313"/>
      <c r="P207" s="313"/>
      <c r="Q207" s="313"/>
      <c r="R207" s="313"/>
      <c r="S207" s="313"/>
    </row>
    <row r="208" spans="1:19" s="202" customFormat="1">
      <c r="A208" s="313"/>
      <c r="I208" s="313"/>
      <c r="J208" s="313"/>
      <c r="K208" s="313"/>
      <c r="L208" s="313"/>
      <c r="M208" s="313"/>
      <c r="N208" s="313"/>
      <c r="O208" s="313"/>
      <c r="P208" s="313"/>
      <c r="Q208" s="313"/>
      <c r="R208" s="313"/>
      <c r="S208" s="313"/>
    </row>
    <row r="209" spans="1:19" s="202" customFormat="1">
      <c r="A209" s="313"/>
      <c r="I209" s="313"/>
      <c r="J209" s="313"/>
      <c r="K209" s="313"/>
      <c r="L209" s="313"/>
      <c r="M209" s="313"/>
      <c r="N209" s="313"/>
      <c r="O209" s="313"/>
      <c r="P209" s="313"/>
      <c r="Q209" s="313"/>
      <c r="R209" s="313"/>
      <c r="S209" s="313"/>
    </row>
    <row r="210" spans="1:19" s="202" customFormat="1">
      <c r="A210" s="313"/>
      <c r="I210" s="313"/>
      <c r="J210" s="313"/>
      <c r="K210" s="313"/>
      <c r="L210" s="313"/>
      <c r="M210" s="313"/>
      <c r="N210" s="313"/>
      <c r="O210" s="313"/>
      <c r="P210" s="313"/>
      <c r="Q210" s="313"/>
      <c r="R210" s="313"/>
      <c r="S210" s="313"/>
    </row>
    <row r="211" spans="1:19" s="202" customFormat="1">
      <c r="A211" s="313"/>
      <c r="I211" s="313"/>
      <c r="J211" s="313"/>
      <c r="K211" s="313"/>
      <c r="L211" s="313"/>
      <c r="M211" s="313"/>
      <c r="N211" s="313"/>
      <c r="O211" s="313"/>
      <c r="P211" s="313"/>
      <c r="Q211" s="313"/>
      <c r="R211" s="313"/>
      <c r="S211" s="313"/>
    </row>
    <row r="212" spans="1:19" s="202" customFormat="1">
      <c r="A212" s="313"/>
      <c r="I212" s="313"/>
      <c r="J212" s="313"/>
      <c r="K212" s="313"/>
      <c r="L212" s="313"/>
      <c r="M212" s="313"/>
      <c r="N212" s="313"/>
      <c r="O212" s="313"/>
      <c r="P212" s="313"/>
      <c r="Q212" s="313"/>
      <c r="R212" s="313"/>
      <c r="S212" s="313"/>
    </row>
    <row r="213" spans="1:19" s="202" customFormat="1">
      <c r="A213" s="313"/>
      <c r="I213" s="313"/>
      <c r="J213" s="313"/>
      <c r="K213" s="313"/>
      <c r="L213" s="313"/>
      <c r="M213" s="313"/>
      <c r="N213" s="313"/>
      <c r="O213" s="313"/>
      <c r="P213" s="313"/>
      <c r="Q213" s="313"/>
      <c r="R213" s="313"/>
      <c r="S213" s="313"/>
    </row>
  </sheetData>
  <sheetProtection sheet="1"/>
  <mergeCells count="6">
    <mergeCell ref="B79:C79"/>
    <mergeCell ref="B74:C74"/>
    <mergeCell ref="B75:C75"/>
    <mergeCell ref="B78:C78"/>
    <mergeCell ref="C6:E6"/>
    <mergeCell ref="C7:E7"/>
  </mergeCells>
  <dataValidations count="2">
    <dataValidation type="list" allowBlank="1" showInputMessage="1" showErrorMessage="1" sqref="F6">
      <formula1>$K$6:$K$7</formula1>
    </dataValidation>
    <dataValidation type="list" allowBlank="1" showInputMessage="1" showErrorMessage="1" sqref="D45:D59">
      <formula1>$I$45:$I$47</formula1>
    </dataValidation>
  </dataValidations>
  <printOptions horizontalCentered="1"/>
  <pageMargins left="0.25" right="0.25" top="0.75" bottom="0.75" header="0.3" footer="0.3"/>
  <pageSetup scale="54" orientation="portrait" r:id="rId1"/>
  <rowBreaks count="1" manualBreakCount="1">
    <brk id="41" max="16383" man="1"/>
  </rowBreaks>
  <drawing r:id="rId2"/>
</worksheet>
</file>

<file path=xl/worksheets/sheet3.xml><?xml version="1.0" encoding="utf-8"?>
<worksheet xmlns="http://schemas.openxmlformats.org/spreadsheetml/2006/main" xmlns:r="http://schemas.openxmlformats.org/officeDocument/2006/relationships">
  <sheetPr codeName="Sheet2">
    <pageSetUpPr fitToPage="1"/>
  </sheetPr>
  <dimension ref="A1:AB100"/>
  <sheetViews>
    <sheetView workbookViewId="0">
      <selection activeCell="B1" sqref="B1"/>
    </sheetView>
  </sheetViews>
  <sheetFormatPr defaultRowHeight="12.75"/>
  <cols>
    <col min="1" max="1" width="46.85546875" style="312" customWidth="1"/>
    <col min="2" max="2" width="26.7109375" style="116" customWidth="1"/>
    <col min="3" max="3" width="10.5703125" customWidth="1"/>
    <col min="4" max="4" width="6.42578125" style="84" customWidth="1"/>
    <col min="5" max="5" width="11.42578125" style="61" customWidth="1"/>
    <col min="6" max="6" width="9.140625" customWidth="1"/>
    <col min="7" max="7" width="9.140625" style="61"/>
    <col min="8" max="8" width="10.28515625" customWidth="1"/>
    <col min="9" max="9" width="11" customWidth="1"/>
    <col min="10" max="10" width="11.5703125" customWidth="1"/>
    <col min="11" max="11" width="4.42578125" style="312" customWidth="1"/>
    <col min="12" max="12" width="21.42578125" style="312" customWidth="1"/>
    <col min="13" max="15" width="10.5703125" style="312" customWidth="1"/>
    <col min="16" max="19" width="9.140625" style="312"/>
    <col min="20" max="20" width="9.140625" style="333"/>
    <col min="21" max="21" width="9.140625" style="312"/>
  </cols>
  <sheetData>
    <row r="1" spans="1:28" ht="29.25" customHeight="1" thickBot="1">
      <c r="B1" s="359" t="s">
        <v>107</v>
      </c>
      <c r="C1" s="360" t="str">
        <f>CONCATENATE("(",Inputs!F3," ewes)")</f>
        <v>(150 ewes)</v>
      </c>
      <c r="D1" s="196"/>
      <c r="E1" s="196"/>
      <c r="F1" s="196"/>
      <c r="G1" s="196"/>
      <c r="H1" s="196"/>
      <c r="I1" s="64"/>
      <c r="J1" s="159"/>
      <c r="K1" s="332"/>
      <c r="L1" s="332"/>
      <c r="M1" s="332"/>
      <c r="N1" s="332"/>
      <c r="O1" s="332"/>
      <c r="P1" s="332"/>
      <c r="Q1" s="332"/>
      <c r="R1" s="332"/>
      <c r="S1" s="332"/>
      <c r="U1" s="332"/>
      <c r="V1" s="205"/>
      <c r="W1" s="205"/>
      <c r="X1" s="205"/>
      <c r="Y1" s="205"/>
      <c r="Z1" s="205"/>
      <c r="AA1" s="205"/>
      <c r="AB1" s="205"/>
    </row>
    <row r="2" spans="1:28" ht="30" customHeight="1" thickBot="1">
      <c r="B2" s="121" t="s">
        <v>39</v>
      </c>
      <c r="C2" s="221"/>
      <c r="D2" s="222"/>
      <c r="E2" s="222"/>
      <c r="F2" s="222"/>
      <c r="G2" s="222"/>
      <c r="H2" s="308" t="s">
        <v>137</v>
      </c>
      <c r="I2" s="309" t="s">
        <v>111</v>
      </c>
      <c r="J2" s="310" t="s">
        <v>126</v>
      </c>
      <c r="K2" s="332"/>
      <c r="L2" s="332"/>
      <c r="M2" s="332"/>
      <c r="N2" s="332"/>
      <c r="O2" s="332"/>
      <c r="P2" s="332"/>
      <c r="Q2" s="332"/>
      <c r="R2" s="332"/>
      <c r="S2" s="332"/>
      <c r="U2" s="332"/>
      <c r="V2" s="205"/>
      <c r="W2" s="205"/>
      <c r="X2" s="205"/>
      <c r="Y2" s="205"/>
      <c r="Z2" s="205"/>
      <c r="AA2" s="205"/>
      <c r="AB2" s="205"/>
    </row>
    <row r="3" spans="1:28">
      <c r="B3" s="126"/>
      <c r="C3" s="79" t="s">
        <v>75</v>
      </c>
      <c r="D3" s="82"/>
      <c r="E3" s="124" t="s">
        <v>6</v>
      </c>
      <c r="F3" s="89"/>
      <c r="G3" s="87"/>
      <c r="H3" s="127" t="s">
        <v>41</v>
      </c>
      <c r="I3" s="127" t="s">
        <v>41</v>
      </c>
      <c r="J3" s="125" t="s">
        <v>41</v>
      </c>
      <c r="K3" s="332"/>
      <c r="L3" s="332"/>
      <c r="M3" s="332"/>
      <c r="N3" s="332"/>
      <c r="O3" s="332"/>
      <c r="P3" s="332"/>
      <c r="Q3" s="332"/>
      <c r="R3" s="332"/>
      <c r="S3" s="332"/>
      <c r="U3" s="332"/>
      <c r="V3" s="205"/>
      <c r="W3" s="205"/>
      <c r="X3" s="205"/>
      <c r="Y3" s="205"/>
      <c r="Z3" s="205"/>
      <c r="AA3" s="205"/>
      <c r="AB3" s="205"/>
    </row>
    <row r="4" spans="1:28">
      <c r="B4" s="70" t="s">
        <v>108</v>
      </c>
      <c r="C4" s="132">
        <f>Inputs!F16*(Inputs!F15-IF(Inputs!F6="Yes",0,(Inputs!F4+Inputs!F5)))</f>
        <v>13500</v>
      </c>
      <c r="D4" s="87" t="s">
        <v>135</v>
      </c>
      <c r="E4" s="95">
        <f>Inputs!F17</f>
        <v>140</v>
      </c>
      <c r="F4" s="87"/>
      <c r="G4" s="93" t="s">
        <v>42</v>
      </c>
      <c r="H4" s="223">
        <f>C4*E4/100</f>
        <v>18900</v>
      </c>
      <c r="I4" s="149">
        <f>IF(Inputs!F3=0,0,H4/(Inputs!$F$3))</f>
        <v>126</v>
      </c>
      <c r="J4" s="94">
        <f>IF(Inputs!$F$15=0,0,H4/(Inputs!$F$15-IF(Inputs!$F$6="Yes",0,Inputs!$F$4+Inputs!$F$5)))</f>
        <v>84</v>
      </c>
      <c r="K4" s="332"/>
      <c r="L4" s="332"/>
      <c r="M4" s="332"/>
      <c r="N4" s="332"/>
      <c r="O4" s="332"/>
      <c r="P4" s="332"/>
      <c r="Q4" s="332"/>
      <c r="R4" s="332"/>
      <c r="S4" s="332"/>
      <c r="U4" s="332"/>
      <c r="V4" s="205"/>
      <c r="W4" s="205"/>
      <c r="X4" s="205"/>
      <c r="Y4" s="205"/>
      <c r="Z4" s="205"/>
      <c r="AA4" s="205"/>
      <c r="AB4" s="205"/>
    </row>
    <row r="5" spans="1:28">
      <c r="B5" s="70"/>
      <c r="C5" s="74"/>
      <c r="D5" s="87"/>
      <c r="E5" s="93"/>
      <c r="F5" s="87"/>
      <c r="G5" s="93"/>
      <c r="H5" s="223"/>
      <c r="I5" s="23"/>
      <c r="J5" s="69"/>
      <c r="K5" s="332"/>
      <c r="L5" s="332"/>
      <c r="M5" s="332"/>
      <c r="N5" s="332"/>
      <c r="O5" s="332"/>
      <c r="P5" s="332"/>
      <c r="Q5" s="332"/>
      <c r="R5" s="332"/>
      <c r="S5" s="332"/>
      <c r="U5" s="332"/>
      <c r="V5" s="205"/>
      <c r="W5" s="205"/>
      <c r="X5" s="205"/>
      <c r="Y5" s="205"/>
      <c r="Z5" s="205"/>
      <c r="AA5" s="205"/>
      <c r="AB5" s="205"/>
    </row>
    <row r="6" spans="1:28">
      <c r="B6" s="70" t="s">
        <v>109</v>
      </c>
      <c r="C6" s="132">
        <f>IF(Inputs!F4=0,0,Inputs!F4*Inputs!F8)</f>
        <v>3000</v>
      </c>
      <c r="D6" s="87" t="s">
        <v>135</v>
      </c>
      <c r="E6" s="95">
        <f>Inputs!F9</f>
        <v>30</v>
      </c>
      <c r="F6" s="87"/>
      <c r="G6" s="93" t="s">
        <v>42</v>
      </c>
      <c r="H6" s="223">
        <f>C6*E6/100</f>
        <v>900</v>
      </c>
      <c r="I6" s="149">
        <f>IF(Inputs!F3=0,0,H6/Inputs!F3)</f>
        <v>6</v>
      </c>
      <c r="J6" s="94">
        <f>IF(Inputs!$F$15=0,0,H6/(Inputs!$F$15-IF(Inputs!$F$6="Yes",0,Inputs!$F$4+Inputs!$F$5)))</f>
        <v>4</v>
      </c>
      <c r="K6" s="332"/>
      <c r="L6" s="332"/>
      <c r="M6" s="332"/>
      <c r="N6" s="332"/>
      <c r="O6" s="332"/>
      <c r="P6" s="332"/>
      <c r="Q6" s="332"/>
      <c r="R6" s="332"/>
      <c r="S6" s="332"/>
      <c r="U6" s="332"/>
      <c r="V6" s="205"/>
      <c r="W6" s="205"/>
      <c r="X6" s="205"/>
      <c r="Y6" s="205"/>
      <c r="Z6" s="205"/>
      <c r="AA6" s="205"/>
      <c r="AB6" s="205"/>
    </row>
    <row r="7" spans="1:28">
      <c r="B7" s="70"/>
      <c r="C7" s="74"/>
      <c r="D7" s="87"/>
      <c r="E7" s="93"/>
      <c r="F7" s="87"/>
      <c r="G7" s="93"/>
      <c r="H7" s="223"/>
      <c r="I7" s="23"/>
      <c r="J7" s="99"/>
      <c r="K7" s="332"/>
      <c r="L7" s="332"/>
      <c r="M7" s="332"/>
      <c r="N7" s="332"/>
      <c r="O7" s="332"/>
      <c r="P7" s="332"/>
      <c r="Q7" s="332"/>
      <c r="R7" s="332"/>
      <c r="S7" s="332"/>
      <c r="U7" s="332"/>
      <c r="V7" s="205"/>
      <c r="W7" s="205"/>
      <c r="X7" s="205"/>
      <c r="Y7" s="205"/>
      <c r="Z7" s="205"/>
      <c r="AA7" s="205"/>
      <c r="AB7" s="205"/>
    </row>
    <row r="8" spans="1:28" s="84" customFormat="1">
      <c r="A8" s="312"/>
      <c r="B8" s="70" t="s">
        <v>124</v>
      </c>
      <c r="C8" s="74">
        <f>Inputs!F18</f>
        <v>150</v>
      </c>
      <c r="D8" s="87" t="s">
        <v>135</v>
      </c>
      <c r="E8" s="95">
        <f>Inputs!F19</f>
        <v>0.1</v>
      </c>
      <c r="F8" s="87"/>
      <c r="G8" s="93" t="s">
        <v>125</v>
      </c>
      <c r="H8" s="223">
        <f>C8*E8</f>
        <v>15</v>
      </c>
      <c r="I8" s="149">
        <f>IF(Inputs!$F$3=0,0,H8/((Inputs!$F$3)))</f>
        <v>0.1</v>
      </c>
      <c r="J8" s="94">
        <f>IF(Inputs!$F$15=0,0,H8/(Inputs!$F$15-IF(Inputs!$F$6="Yes",0,Inputs!$F$4+Inputs!$F$5)))</f>
        <v>6.6666666666666666E-2</v>
      </c>
      <c r="K8" s="332"/>
      <c r="L8" s="332"/>
      <c r="M8" s="332"/>
      <c r="N8" s="332"/>
      <c r="O8" s="332"/>
      <c r="P8" s="332"/>
      <c r="Q8" s="332"/>
      <c r="R8" s="332"/>
      <c r="S8" s="332"/>
      <c r="T8" s="333"/>
      <c r="U8" s="332"/>
      <c r="V8" s="205"/>
      <c r="W8" s="205"/>
      <c r="X8" s="205"/>
      <c r="Y8" s="205"/>
      <c r="Z8" s="205"/>
      <c r="AA8" s="205"/>
      <c r="AB8" s="205"/>
    </row>
    <row r="9" spans="1:28" ht="13.5" thickBot="1">
      <c r="B9" s="92"/>
      <c r="C9" s="74"/>
      <c r="D9" s="93"/>
      <c r="E9" s="93"/>
      <c r="G9" s="93"/>
      <c r="H9" s="223"/>
      <c r="I9" s="23"/>
      <c r="J9" s="99"/>
      <c r="K9" s="332"/>
      <c r="L9" s="334"/>
      <c r="M9" s="332"/>
      <c r="N9" s="332"/>
      <c r="O9" s="332"/>
      <c r="P9" s="332"/>
      <c r="Q9" s="332"/>
      <c r="R9" s="332"/>
      <c r="S9" s="332"/>
      <c r="U9" s="332"/>
      <c r="V9" s="205"/>
      <c r="W9" s="205"/>
      <c r="X9" s="205"/>
      <c r="Y9" s="205"/>
      <c r="Z9" s="205"/>
      <c r="AA9" s="205"/>
      <c r="AB9" s="205"/>
    </row>
    <row r="10" spans="1:28" ht="16.5" thickBot="1">
      <c r="B10" s="121"/>
      <c r="C10" s="86"/>
      <c r="D10" s="86"/>
      <c r="E10" s="81"/>
      <c r="F10" s="115"/>
      <c r="G10" s="62" t="s">
        <v>43</v>
      </c>
      <c r="H10" s="224">
        <f>SUM(H4:H9)</f>
        <v>19815</v>
      </c>
      <c r="I10" s="151">
        <f>SUM(I4:I9)</f>
        <v>132.1</v>
      </c>
      <c r="J10" s="201">
        <f>SUM(J4:J9)</f>
        <v>88.066666666666663</v>
      </c>
      <c r="K10" s="332"/>
      <c r="L10" s="332"/>
      <c r="M10" s="332"/>
      <c r="N10" s="332"/>
      <c r="O10" s="332"/>
      <c r="P10" s="332"/>
      <c r="Q10" s="332"/>
      <c r="R10" s="332"/>
      <c r="S10" s="332"/>
      <c r="U10" s="332"/>
      <c r="V10" s="205"/>
      <c r="W10" s="205"/>
      <c r="X10" s="205"/>
      <c r="Y10" s="205"/>
      <c r="Z10" s="205"/>
      <c r="AA10" s="205"/>
      <c r="AB10" s="205"/>
    </row>
    <row r="11" spans="1:28" ht="13.5" thickBot="1">
      <c r="B11" s="119"/>
      <c r="C11" s="63"/>
      <c r="D11" s="87"/>
      <c r="E11" s="63"/>
      <c r="F11" s="63"/>
      <c r="G11" s="63"/>
      <c r="H11" s="225"/>
      <c r="I11" s="63"/>
      <c r="J11" s="63"/>
      <c r="K11" s="332"/>
      <c r="L11" s="332"/>
      <c r="M11" s="332"/>
      <c r="N11" s="332"/>
      <c r="O11" s="332"/>
      <c r="P11" s="332"/>
      <c r="Q11" s="332"/>
      <c r="R11" s="332"/>
      <c r="S11" s="332"/>
      <c r="U11" s="332"/>
      <c r="V11" s="205"/>
      <c r="W11" s="205"/>
      <c r="X11" s="205"/>
      <c r="Y11" s="205"/>
      <c r="Z11" s="205"/>
      <c r="AA11" s="205"/>
      <c r="AB11" s="205"/>
    </row>
    <row r="12" spans="1:28" ht="27" thickBot="1">
      <c r="B12" s="121" t="s">
        <v>44</v>
      </c>
      <c r="C12" s="221"/>
      <c r="D12" s="222"/>
      <c r="E12" s="222"/>
      <c r="F12" s="222"/>
      <c r="G12" s="222"/>
      <c r="H12" s="308" t="s">
        <v>137</v>
      </c>
      <c r="I12" s="309" t="s">
        <v>111</v>
      </c>
      <c r="J12" s="310" t="s">
        <v>126</v>
      </c>
      <c r="K12" s="332"/>
      <c r="L12" s="332"/>
      <c r="M12" s="332"/>
      <c r="N12" s="332"/>
      <c r="O12" s="332"/>
      <c r="P12" s="332"/>
      <c r="Q12" s="332"/>
      <c r="R12" s="332"/>
      <c r="S12" s="332"/>
      <c r="U12" s="332"/>
      <c r="V12" s="205"/>
      <c r="W12" s="205"/>
      <c r="X12" s="205"/>
      <c r="Y12" s="205"/>
      <c r="Z12" s="205"/>
      <c r="AA12" s="205"/>
      <c r="AB12" s="205"/>
    </row>
    <row r="13" spans="1:28">
      <c r="B13" s="133" t="s">
        <v>130</v>
      </c>
      <c r="C13" s="79" t="s">
        <v>59</v>
      </c>
      <c r="D13" s="124"/>
      <c r="E13" s="124" t="s">
        <v>6</v>
      </c>
      <c r="F13" s="89"/>
      <c r="G13" s="89"/>
      <c r="H13" s="226" t="s">
        <v>41</v>
      </c>
      <c r="I13" s="127" t="s">
        <v>41</v>
      </c>
      <c r="J13" s="125" t="s">
        <v>41</v>
      </c>
      <c r="K13" s="332"/>
      <c r="L13" s="332"/>
      <c r="M13" s="332"/>
      <c r="N13" s="332"/>
      <c r="O13" s="332"/>
      <c r="P13" s="332"/>
      <c r="Q13" s="332"/>
      <c r="R13" s="332"/>
      <c r="S13" s="332"/>
      <c r="U13" s="332"/>
      <c r="V13" s="205"/>
      <c r="W13" s="205"/>
      <c r="X13" s="205"/>
      <c r="Y13" s="205"/>
      <c r="Z13" s="205"/>
      <c r="AA13" s="205"/>
      <c r="AB13" s="205"/>
    </row>
    <row r="14" spans="1:28">
      <c r="B14" s="92" t="s">
        <v>113</v>
      </c>
      <c r="C14" s="129"/>
      <c r="D14" s="238"/>
      <c r="E14" s="93"/>
      <c r="F14" s="93"/>
      <c r="G14" s="346" t="s">
        <v>147</v>
      </c>
      <c r="H14" s="223">
        <f>Rams!H35</f>
        <v>290.5</v>
      </c>
      <c r="I14" s="149">
        <f>IF(Inputs!$F$3=0,0,H14/(Inputs!$F$3))</f>
        <v>1.9366666666666668</v>
      </c>
      <c r="J14" s="94">
        <f>IF(Inputs!$F$15=0,0,H14/(Inputs!$F$15-Inputs!$F$4-Inputs!$F$5))</f>
        <v>1.4524999999999999</v>
      </c>
      <c r="K14" s="332"/>
      <c r="L14" s="332"/>
      <c r="M14" s="332"/>
      <c r="N14" s="332"/>
      <c r="O14" s="332"/>
      <c r="P14" s="332"/>
      <c r="Q14" s="332"/>
      <c r="R14" s="332"/>
      <c r="S14" s="332"/>
      <c r="U14" s="332"/>
      <c r="V14" s="205"/>
      <c r="W14" s="205"/>
      <c r="X14" s="205"/>
      <c r="Y14" s="205"/>
      <c r="Z14" s="205"/>
      <c r="AA14" s="205"/>
      <c r="AB14" s="205"/>
    </row>
    <row r="15" spans="1:28">
      <c r="B15" s="92" t="s">
        <v>142</v>
      </c>
      <c r="C15" s="230">
        <f>IF(Inputs!$F$6="Yes",Inputs!$F$4+Inputs!$F$5,0)</f>
        <v>25</v>
      </c>
      <c r="D15" s="105"/>
      <c r="E15" s="231">
        <f>IF(Inputs!$F$6="Yes",IF(Inputs!$F$7=0,"Enter Replacement Ewe Cost",Inputs!$F$7),"N/A")</f>
        <v>50</v>
      </c>
      <c r="F15" s="93" t="s">
        <v>45</v>
      </c>
      <c r="G15" s="93"/>
      <c r="H15" s="259">
        <f>IF(E15="N/A","",C15*E15)</f>
        <v>1250</v>
      </c>
      <c r="I15" s="260">
        <f>IF(E15="N/A","",IF(Inputs!$F$3=0,0,H15/(Inputs!$F$3)))</f>
        <v>8.3333333333333339</v>
      </c>
      <c r="J15" s="261">
        <f>IF($E$15="N/A","",IF(Inputs!$F$15=0,0,H15/(Inputs!$F$15-Inputs!$F$4-Inputs!$F$5)))</f>
        <v>6.25</v>
      </c>
      <c r="K15" s="332"/>
      <c r="L15" s="333"/>
      <c r="M15" s="332"/>
      <c r="N15" s="332"/>
      <c r="O15" s="332"/>
      <c r="P15" s="332"/>
      <c r="Q15" s="332"/>
      <c r="R15" s="332"/>
      <c r="S15" s="332"/>
      <c r="U15" s="332"/>
      <c r="V15" s="205"/>
      <c r="W15" s="205"/>
      <c r="X15" s="205"/>
      <c r="Y15" s="205"/>
      <c r="Z15" s="205"/>
      <c r="AA15" s="205"/>
      <c r="AB15" s="205"/>
    </row>
    <row r="16" spans="1:28" s="84" customFormat="1">
      <c r="A16" s="312"/>
      <c r="B16" s="92"/>
      <c r="C16" s="75"/>
      <c r="D16" s="105"/>
      <c r="E16" s="105"/>
      <c r="F16" s="93"/>
      <c r="G16" s="93"/>
      <c r="H16" s="102"/>
      <c r="I16" s="102"/>
      <c r="J16" s="257"/>
      <c r="K16" s="332"/>
      <c r="L16" s="333"/>
      <c r="M16" s="332"/>
      <c r="N16" s="332"/>
      <c r="O16" s="332"/>
      <c r="P16" s="332"/>
      <c r="Q16" s="332"/>
      <c r="R16" s="332"/>
      <c r="S16" s="332"/>
      <c r="T16" s="335" t="s">
        <v>128</v>
      </c>
      <c r="U16" s="332"/>
      <c r="V16" s="205"/>
      <c r="W16" s="205"/>
      <c r="X16" s="205"/>
      <c r="Y16" s="205"/>
      <c r="Z16" s="205"/>
      <c r="AA16" s="205"/>
      <c r="AB16" s="205"/>
    </row>
    <row r="17" spans="1:28" s="116" customFormat="1" ht="12.75" customHeight="1">
      <c r="A17" s="312"/>
      <c r="B17" s="92"/>
      <c r="C17" s="386" t="s">
        <v>132</v>
      </c>
      <c r="D17" s="302"/>
      <c r="E17" s="388" t="s">
        <v>133</v>
      </c>
      <c r="F17" s="93"/>
      <c r="G17" s="93"/>
      <c r="H17" s="102"/>
      <c r="I17" s="93"/>
      <c r="J17" s="258"/>
      <c r="K17" s="332"/>
      <c r="L17" s="335"/>
      <c r="M17" s="385"/>
      <c r="N17" s="385"/>
      <c r="O17" s="385"/>
      <c r="P17" s="332"/>
      <c r="Q17" s="336"/>
      <c r="R17" s="336"/>
      <c r="S17" s="332"/>
      <c r="T17" s="335" t="s">
        <v>134</v>
      </c>
      <c r="U17" s="336"/>
      <c r="V17" s="207"/>
      <c r="W17" s="207"/>
      <c r="X17" s="207"/>
      <c r="Y17" s="207"/>
      <c r="Z17" s="207">
        <v>1</v>
      </c>
      <c r="AA17" s="207"/>
      <c r="AB17" s="205"/>
    </row>
    <row r="18" spans="1:28" s="116" customFormat="1" ht="14.25" customHeight="1">
      <c r="A18" s="312"/>
      <c r="B18" s="134" t="s">
        <v>131</v>
      </c>
      <c r="C18" s="387"/>
      <c r="D18" s="302"/>
      <c r="E18" s="388"/>
      <c r="F18" s="389" t="s">
        <v>6</v>
      </c>
      <c r="G18" s="390"/>
      <c r="H18" s="262" t="s">
        <v>41</v>
      </c>
      <c r="I18" s="262" t="s">
        <v>41</v>
      </c>
      <c r="J18" s="263" t="s">
        <v>41</v>
      </c>
      <c r="K18" s="312"/>
      <c r="L18" s="337"/>
      <c r="M18" s="319"/>
      <c r="N18" s="319"/>
      <c r="O18" s="319"/>
      <c r="P18" s="316"/>
      <c r="Q18" s="340"/>
      <c r="R18" s="336"/>
      <c r="S18" s="332"/>
      <c r="T18" s="333"/>
      <c r="U18" s="336"/>
      <c r="V18" s="207"/>
      <c r="W18" s="207"/>
      <c r="X18" s="207"/>
      <c r="Y18" s="207"/>
      <c r="Z18" s="207"/>
      <c r="AA18" s="207"/>
      <c r="AB18" s="205"/>
    </row>
    <row r="19" spans="1:28" ht="12.75" customHeight="1">
      <c r="B19" s="366" t="s">
        <v>162</v>
      </c>
      <c r="C19" s="365">
        <f>2*365</f>
        <v>730</v>
      </c>
      <c r="D19" s="153" t="str">
        <f t="shared" ref="D19:D25" si="0">IF(B19="","",CONCATENATE(VLOOKUP(B19,Feed,4,FALSE),"s"))</f>
        <v>poundss</v>
      </c>
      <c r="E19" s="367" t="s">
        <v>128</v>
      </c>
      <c r="F19" s="381" t="str">
        <f t="shared" ref="F19:F25" si="1">IF(B19="","",CONCATENATE("@ ",TEXT(VLOOKUP($B19,Feed,6,FALSE),"0.00")," per ",VLOOKUP(B19,Feed,4,FALSE)))</f>
        <v>@ 0.03 per pounds</v>
      </c>
      <c r="G19" s="382"/>
      <c r="H19" s="223">
        <f>IF(B19=0,"",IF(E19="","",C19*VLOOKUP(B19,Feed,6,FALSE)*IF(E19="total",1,Inputs!$F$3)))</f>
        <v>3741.25</v>
      </c>
      <c r="I19" s="149">
        <f>IF(Inputs!$F$3=0,"",IF(Flock!H19="","",Flock!H19/Inputs!$F$3))</f>
        <v>24.941666666666666</v>
      </c>
      <c r="J19" s="236">
        <f>IF(Inputs!$F$3=0,"",IF(H19="","",H19/(Inputs!$F$15-IF(Inputs!$F$6="Yes",0,Inputs!$F$4+Inputs!$F$5))))</f>
        <v>16.627777777777776</v>
      </c>
      <c r="L19" s="342" t="s">
        <v>128</v>
      </c>
      <c r="M19" s="328"/>
      <c r="N19" s="317"/>
      <c r="O19" s="317"/>
      <c r="P19" s="341"/>
      <c r="Q19" s="341"/>
      <c r="R19" s="339">
        <f t="shared" ref="R19:R25" si="2">M19+N19+O19</f>
        <v>0</v>
      </c>
      <c r="S19" s="332"/>
      <c r="T19" s="335" t="str">
        <f>IF(Inputs!B32="","",Inputs!B32)</f>
        <v>Grass Hay</v>
      </c>
      <c r="U19" s="332"/>
      <c r="V19" s="205"/>
      <c r="W19" s="205"/>
      <c r="X19" s="205"/>
      <c r="Y19" s="205"/>
      <c r="Z19" s="205">
        <v>2</v>
      </c>
      <c r="AA19" s="205"/>
      <c r="AB19" s="205"/>
    </row>
    <row r="20" spans="1:28" ht="14.25" customHeight="1">
      <c r="B20" s="366" t="s">
        <v>122</v>
      </c>
      <c r="C20" s="365">
        <f>2*365</f>
        <v>730</v>
      </c>
      <c r="D20" s="153" t="str">
        <f t="shared" si="0"/>
        <v>poundss</v>
      </c>
      <c r="E20" s="367" t="s">
        <v>128</v>
      </c>
      <c r="F20" s="381" t="str">
        <f t="shared" si="1"/>
        <v>@ 0.04 per pounds</v>
      </c>
      <c r="G20" s="382"/>
      <c r="H20" s="223">
        <f>IF(B20=0,"",IF(E20="","",C20*VLOOKUP(B20,Feed,6,FALSE)*IF(E20="total",1,Inputs!$F$3)))</f>
        <v>3923.7500000000005</v>
      </c>
      <c r="I20" s="149">
        <f>IF(Inputs!$F$3=0,"",IF(Flock!H20="","",Flock!H20/Inputs!$F$3))</f>
        <v>26.158333333333335</v>
      </c>
      <c r="J20" s="236">
        <f>IF(Inputs!$F$3=0,"",IF(H20="","",H20/(Inputs!$F$15-IF(Inputs!$F$6="Yes",0,Inputs!$F$4+Inputs!$F$5))))</f>
        <v>17.43888888888889</v>
      </c>
      <c r="L20" s="342" t="s">
        <v>134</v>
      </c>
      <c r="M20" s="328"/>
      <c r="N20" s="317"/>
      <c r="O20" s="317"/>
      <c r="P20" s="341"/>
      <c r="Q20" s="341"/>
      <c r="R20" s="339">
        <f t="shared" si="2"/>
        <v>0</v>
      </c>
      <c r="S20" s="332"/>
      <c r="T20" s="335" t="str">
        <f>IF(Inputs!B33="","",Inputs!B33)</f>
        <v>Alfalfa Hay</v>
      </c>
      <c r="U20" s="332"/>
      <c r="V20" s="205"/>
      <c r="W20" s="205"/>
      <c r="X20" s="205"/>
      <c r="Y20" s="205"/>
      <c r="Z20" s="205">
        <v>3</v>
      </c>
      <c r="AA20" s="205"/>
      <c r="AB20" s="205"/>
    </row>
    <row r="21" spans="1:28">
      <c r="B21" s="366" t="s">
        <v>168</v>
      </c>
      <c r="C21" s="365">
        <f>0.5*365</f>
        <v>182.5</v>
      </c>
      <c r="D21" s="153" t="str">
        <f t="shared" si="0"/>
        <v>poundss</v>
      </c>
      <c r="E21" s="367" t="s">
        <v>128</v>
      </c>
      <c r="F21" s="381" t="str">
        <f t="shared" si="1"/>
        <v>@ 0.03 per pounds</v>
      </c>
      <c r="G21" s="382"/>
      <c r="H21" s="223">
        <f>IF(B21=0,"",IF(E21="","",C21*VLOOKUP(B21,Feed,6,FALSE)*IF(E21="total",1,Inputs!$F$3)))</f>
        <v>684.375</v>
      </c>
      <c r="I21" s="149">
        <f>IF(Inputs!$F$3=0,"",IF(Flock!H21="","",Flock!H21/Inputs!$F$3))</f>
        <v>4.5625</v>
      </c>
      <c r="J21" s="236">
        <f>IF(Inputs!$F$3=0,"",IF(H21="","",H21/(Inputs!$F$15-IF(Inputs!$F$6="Yes",0,Inputs!$F$4+Inputs!$F$5))))</f>
        <v>3.0416666666666665</v>
      </c>
      <c r="L21" s="317"/>
      <c r="M21" s="328"/>
      <c r="N21" s="317"/>
      <c r="O21" s="317"/>
      <c r="P21" s="341"/>
      <c r="Q21" s="341"/>
      <c r="R21" s="339">
        <f t="shared" si="2"/>
        <v>0</v>
      </c>
      <c r="S21" s="332"/>
      <c r="T21" s="335" t="str">
        <f>IF(Inputs!B34="","",Inputs!B34)</f>
        <v>Modified Distillers Grains</v>
      </c>
      <c r="U21" s="332"/>
      <c r="V21" s="205"/>
      <c r="W21" s="205"/>
      <c r="X21" s="205"/>
      <c r="Y21" s="205"/>
      <c r="Z21" s="205">
        <v>4</v>
      </c>
      <c r="AA21" s="205"/>
      <c r="AB21" s="205"/>
    </row>
    <row r="22" spans="1:28">
      <c r="B22" s="366" t="s">
        <v>165</v>
      </c>
      <c r="C22" s="365">
        <v>1200</v>
      </c>
      <c r="D22" s="153" t="str">
        <f t="shared" si="0"/>
        <v>poundss</v>
      </c>
      <c r="E22" s="367" t="s">
        <v>134</v>
      </c>
      <c r="F22" s="381" t="str">
        <f t="shared" si="1"/>
        <v>@ 0.56 per pounds</v>
      </c>
      <c r="G22" s="382"/>
      <c r="H22" s="223">
        <f>IF(B22=0,"",IF(E22="","",C22*VLOOKUP(B22,Feed,6,FALSE)*IF(E22="total",1,Inputs!$F$3)))</f>
        <v>672.00000000000011</v>
      </c>
      <c r="I22" s="149">
        <f>IF(Inputs!$F$3=0,"",IF(Flock!H22="","",Flock!H22/Inputs!$F$3))</f>
        <v>4.4800000000000004</v>
      </c>
      <c r="J22" s="236">
        <f>IF(Inputs!$F$3=0,"",IF(H22="","",H22/(Inputs!$F$15-IF(Inputs!$F$6="Yes",0,Inputs!$F$4+Inputs!$F$5))))</f>
        <v>2.9866666666666672</v>
      </c>
      <c r="L22" s="317"/>
      <c r="M22" s="328"/>
      <c r="N22" s="317"/>
      <c r="O22" s="317"/>
      <c r="P22" s="341"/>
      <c r="Q22" s="341"/>
      <c r="R22" s="339">
        <f t="shared" si="2"/>
        <v>0</v>
      </c>
      <c r="S22" s="332"/>
      <c r="T22" s="335" t="str">
        <f>IF(Inputs!B35="","",Inputs!B35)</f>
        <v>Mineral</v>
      </c>
      <c r="U22" s="332"/>
      <c r="V22" s="205"/>
      <c r="W22" s="205"/>
      <c r="X22" s="205"/>
      <c r="Y22" s="205"/>
      <c r="Z22" s="205">
        <v>5</v>
      </c>
      <c r="AA22" s="205"/>
      <c r="AB22" s="205"/>
    </row>
    <row r="23" spans="1:28">
      <c r="B23" s="366"/>
      <c r="C23" s="365"/>
      <c r="D23" s="153" t="str">
        <f t="shared" si="0"/>
        <v/>
      </c>
      <c r="E23" s="367"/>
      <c r="F23" s="381" t="str">
        <f t="shared" si="1"/>
        <v/>
      </c>
      <c r="G23" s="382"/>
      <c r="H23" s="223" t="str">
        <f>IF(B23=0,"",IF(E23="","",C23*VLOOKUP(B23,Feed,6,FALSE)*IF(E23="total",1,Inputs!$F$3)))</f>
        <v/>
      </c>
      <c r="I23" s="149" t="str">
        <f>IF(Inputs!$F$3=0,"",IF(Flock!H23="","",Flock!H23/Inputs!$F$3))</f>
        <v/>
      </c>
      <c r="J23" s="236" t="str">
        <f>IF(Inputs!$F$3=0,"",IF(H23="","",H23/(Inputs!$F$15-IF(Inputs!$F$6="Yes",0,Inputs!$F$4+Inputs!$F$5))))</f>
        <v/>
      </c>
      <c r="L23" s="317"/>
      <c r="M23" s="328"/>
      <c r="N23" s="317"/>
      <c r="O23" s="317"/>
      <c r="P23" s="341"/>
      <c r="Q23" s="341"/>
      <c r="R23" s="339">
        <f t="shared" si="2"/>
        <v>0</v>
      </c>
      <c r="S23" s="332"/>
      <c r="T23" s="335" t="str">
        <f>IF(Inputs!B36="","",Inputs!B36)</f>
        <v/>
      </c>
      <c r="U23" s="332"/>
      <c r="V23" s="205"/>
      <c r="W23" s="205"/>
      <c r="X23" s="205"/>
      <c r="Y23" s="205"/>
      <c r="Z23" s="205">
        <v>6</v>
      </c>
      <c r="AA23" s="205"/>
      <c r="AB23" s="205"/>
    </row>
    <row r="24" spans="1:28">
      <c r="B24" s="366"/>
      <c r="C24" s="365"/>
      <c r="D24" s="153" t="str">
        <f t="shared" si="0"/>
        <v/>
      </c>
      <c r="E24" s="367"/>
      <c r="F24" s="381" t="str">
        <f t="shared" si="1"/>
        <v/>
      </c>
      <c r="G24" s="382"/>
      <c r="H24" s="223" t="str">
        <f>IF(B24=0,"",IF(E24="","",C24*VLOOKUP(B24,Feed,6,FALSE)*IF(E24="total",1,Inputs!$F$3)))</f>
        <v/>
      </c>
      <c r="I24" s="149" t="str">
        <f>IF(Inputs!$F$3=0,"",IF(Flock!H24="","",Flock!H24/Inputs!$F$3))</f>
        <v/>
      </c>
      <c r="J24" s="236" t="str">
        <f>IF(Inputs!$F$3=0,"",IF(H24="","",H24/(Inputs!$F$15-IF(Inputs!$F$6="Yes",0,Inputs!$F$4+Inputs!$F$5))))</f>
        <v/>
      </c>
      <c r="L24" s="317"/>
      <c r="M24" s="328"/>
      <c r="N24" s="317"/>
      <c r="O24" s="317"/>
      <c r="P24" s="341"/>
      <c r="Q24" s="341"/>
      <c r="R24" s="339">
        <f t="shared" si="2"/>
        <v>0</v>
      </c>
      <c r="S24" s="332"/>
      <c r="T24" s="335" t="str">
        <f>IF(Inputs!B37="","",Inputs!B37)</f>
        <v/>
      </c>
      <c r="U24" s="332"/>
      <c r="V24" s="205"/>
      <c r="W24" s="205"/>
      <c r="X24" s="205"/>
      <c r="Y24" s="205"/>
      <c r="Z24" s="205">
        <v>7</v>
      </c>
      <c r="AA24" s="205"/>
      <c r="AB24" s="205"/>
    </row>
    <row r="25" spans="1:28">
      <c r="B25" s="366"/>
      <c r="C25" s="365"/>
      <c r="D25" s="153" t="str">
        <f t="shared" si="0"/>
        <v/>
      </c>
      <c r="E25" s="367"/>
      <c r="F25" s="381" t="str">
        <f t="shared" si="1"/>
        <v/>
      </c>
      <c r="G25" s="382"/>
      <c r="H25" s="223" t="str">
        <f>IF(B25=0,"",IF(E25="","",C25*VLOOKUP(B25,Feed,6,FALSE)*IF(E25="total",1,Inputs!$F$3)))</f>
        <v/>
      </c>
      <c r="I25" s="149" t="str">
        <f>IF(Inputs!$F$3=0,"",IF(Flock!H25="","",Flock!H25/Inputs!$F$3))</f>
        <v/>
      </c>
      <c r="J25" s="236" t="str">
        <f>IF(Inputs!$F$3=0,"",IF(H25="","",H25/(Inputs!$F$15-IF(Inputs!$F$6="Yes",0,Inputs!$F$4+Inputs!$F$5))))</f>
        <v/>
      </c>
      <c r="L25" s="317"/>
      <c r="M25" s="328"/>
      <c r="N25" s="317"/>
      <c r="O25" s="317"/>
      <c r="P25" s="341"/>
      <c r="Q25" s="341"/>
      <c r="R25" s="339">
        <f t="shared" si="2"/>
        <v>0</v>
      </c>
      <c r="S25" s="332"/>
      <c r="T25" s="335" t="str">
        <f>IF(Inputs!B38="","",Inputs!B38)</f>
        <v/>
      </c>
      <c r="U25" s="332"/>
      <c r="V25" s="205"/>
      <c r="W25" s="205"/>
      <c r="X25" s="205"/>
      <c r="Y25" s="205"/>
      <c r="Z25" s="205">
        <v>8</v>
      </c>
      <c r="AA25" s="205"/>
      <c r="AB25" s="205"/>
    </row>
    <row r="26" spans="1:28" s="84" customFormat="1" ht="13.5" thickBot="1">
      <c r="A26" s="312"/>
      <c r="B26" s="92" t="s">
        <v>155</v>
      </c>
      <c r="C26" s="383" t="s">
        <v>156</v>
      </c>
      <c r="D26" s="384"/>
      <c r="E26" s="384"/>
      <c r="F26" s="384"/>
      <c r="G26" s="384"/>
      <c r="H26" s="227">
        <f>Replacement!H12</f>
        <v>0</v>
      </c>
      <c r="I26" s="297">
        <f>IF(Inputs!$F$3=0,"",IF(Flock!H26="","",Flock!H26/Inputs!$F$3))</f>
        <v>0</v>
      </c>
      <c r="J26" s="191">
        <f>IF(Inputs!$F$3=0,"",IF(H26="","",H26/(Inputs!$F$15-IF(Inputs!$F$6="Yes",0,Inputs!$F$4+Inputs!$F$5))))</f>
        <v>0</v>
      </c>
      <c r="K26" s="312"/>
      <c r="L26" s="317"/>
      <c r="M26" s="328"/>
      <c r="N26" s="317"/>
      <c r="O26" s="317"/>
      <c r="P26" s="334"/>
      <c r="Q26" s="334"/>
      <c r="R26" s="339"/>
      <c r="S26" s="332"/>
      <c r="T26" s="335"/>
      <c r="U26" s="332"/>
      <c r="V26" s="205"/>
      <c r="W26" s="205"/>
      <c r="X26" s="205"/>
      <c r="Y26" s="205"/>
      <c r="Z26" s="205"/>
      <c r="AA26" s="205"/>
      <c r="AB26" s="205"/>
    </row>
    <row r="27" spans="1:28" ht="13.5" thickTop="1">
      <c r="B27" s="92"/>
      <c r="C27" s="74"/>
      <c r="D27" s="93"/>
      <c r="E27" s="93"/>
      <c r="F27" s="123"/>
      <c r="G27" s="71" t="s">
        <v>47</v>
      </c>
      <c r="H27" s="228">
        <f>SUM(H19:H25)</f>
        <v>9021.375</v>
      </c>
      <c r="I27" s="264">
        <f>SUM(I19:I25)</f>
        <v>60.142499999999998</v>
      </c>
      <c r="J27" s="158">
        <f>SUM(J19:J25)</f>
        <v>40.094999999999992</v>
      </c>
      <c r="K27" s="332"/>
      <c r="L27" s="332"/>
      <c r="M27" s="332"/>
      <c r="N27" s="332"/>
      <c r="O27" s="332"/>
      <c r="P27" s="332"/>
      <c r="Q27" s="332"/>
      <c r="R27" s="332"/>
      <c r="S27" s="332"/>
      <c r="T27" s="335" t="str">
        <f>IF(Inputs!B39="","",Inputs!B39)</f>
        <v/>
      </c>
      <c r="U27" s="332"/>
      <c r="V27" s="205"/>
      <c r="W27" s="205"/>
      <c r="X27" s="205"/>
      <c r="Y27" s="205"/>
      <c r="Z27" s="205"/>
      <c r="AA27" s="205"/>
      <c r="AB27" s="205"/>
    </row>
    <row r="28" spans="1:28" ht="12.75" customHeight="1">
      <c r="B28" s="92"/>
      <c r="C28" s="74"/>
      <c r="D28" s="93"/>
      <c r="E28" s="123"/>
      <c r="F28" s="93"/>
      <c r="G28" s="93"/>
      <c r="H28" s="102"/>
      <c r="I28" s="93"/>
      <c r="J28" s="99"/>
      <c r="K28" s="332"/>
      <c r="L28" s="332"/>
      <c r="M28" s="332"/>
      <c r="N28" s="332"/>
      <c r="O28" s="332"/>
      <c r="P28" s="332"/>
      <c r="Q28" s="332"/>
      <c r="R28" s="332"/>
      <c r="S28" s="332"/>
      <c r="T28" s="335" t="str">
        <f>IF(Inputs!B40="","",Inputs!B40)</f>
        <v/>
      </c>
      <c r="U28" s="332"/>
      <c r="V28" s="205"/>
      <c r="W28" s="205"/>
      <c r="X28" s="205"/>
      <c r="Y28" s="205"/>
      <c r="Z28" s="205"/>
      <c r="AA28" s="206"/>
      <c r="AB28" s="205"/>
    </row>
    <row r="29" spans="1:28">
      <c r="B29" s="134" t="s">
        <v>136</v>
      </c>
      <c r="C29" s="74"/>
      <c r="D29" s="93"/>
      <c r="E29" s="147" t="s">
        <v>64</v>
      </c>
      <c r="F29" s="82"/>
      <c r="G29" s="82"/>
      <c r="H29" s="249" t="s">
        <v>41</v>
      </c>
      <c r="I29" s="262" t="s">
        <v>41</v>
      </c>
      <c r="J29" s="263" t="s">
        <v>41</v>
      </c>
      <c r="K29" s="332"/>
      <c r="L29" s="332"/>
      <c r="M29" s="332"/>
      <c r="N29" s="332"/>
      <c r="O29" s="332"/>
      <c r="P29" s="332"/>
      <c r="Q29" s="332"/>
      <c r="R29" s="332"/>
      <c r="S29" s="332"/>
      <c r="T29" s="335" t="str">
        <f>IF(Inputs!B41="","",Inputs!B41)</f>
        <v/>
      </c>
      <c r="U29" s="332"/>
      <c r="V29" s="205"/>
      <c r="W29" s="205"/>
      <c r="X29" s="205"/>
      <c r="Y29" s="205"/>
      <c r="Z29" s="205"/>
      <c r="AA29" s="206"/>
      <c r="AB29" s="205"/>
    </row>
    <row r="30" spans="1:28">
      <c r="B30" s="92" t="str">
        <f>Inputs!B45</f>
        <v>Labor</v>
      </c>
      <c r="C30" s="74"/>
      <c r="D30" s="93"/>
      <c r="E30" s="136">
        <f t="shared" ref="E30:E39" si="3">IF(B30="","",VLOOKUP(B30,NonFeed,4,FALSE))</f>
        <v>1</v>
      </c>
      <c r="F30" s="103"/>
      <c r="G30" s="123"/>
      <c r="H30" s="223">
        <f>IF(B30="","",E30*VLOOKUP(B30,NonFeed,2,FALSE)*IF(VLOOKUP(B30,NonFeed,3,FALSE)="per animal",Inputs!$F$3,1))</f>
        <v>3650</v>
      </c>
      <c r="I30" s="149">
        <f>IF(Inputs!$F$3=0,"",IF(Flock!H30="","",Flock!H30/Inputs!$F$3))</f>
        <v>24.333333333333332</v>
      </c>
      <c r="J30" s="236">
        <f>IF(Inputs!$F$3=0,"",IF(H30="","",H30/(Inputs!$F$15-IF(Inputs!$F$6="Yes",0,Inputs!$F$4+Inputs!$F$5))))</f>
        <v>16.222222222222221</v>
      </c>
      <c r="K30" s="332"/>
      <c r="L30" s="332"/>
      <c r="M30" s="332"/>
      <c r="N30" s="332"/>
      <c r="O30" s="332"/>
      <c r="P30" s="332"/>
      <c r="Q30" s="332"/>
      <c r="R30" s="332"/>
      <c r="S30" s="332"/>
      <c r="U30" s="332"/>
      <c r="V30" s="205"/>
      <c r="W30" s="205"/>
      <c r="X30" s="205"/>
      <c r="Y30" s="205"/>
      <c r="Z30" s="205"/>
      <c r="AA30" s="206"/>
      <c r="AB30" s="205"/>
    </row>
    <row r="31" spans="1:28">
      <c r="B31" s="92" t="str">
        <f>Inputs!B46</f>
        <v>Fuel</v>
      </c>
      <c r="C31" s="74"/>
      <c r="D31" s="93"/>
      <c r="E31" s="136">
        <f t="shared" si="3"/>
        <v>1</v>
      </c>
      <c r="F31" s="103"/>
      <c r="G31" s="93"/>
      <c r="H31" s="223">
        <f>IF(B31="","",E31*VLOOKUP(B31,NonFeed,2,FALSE)*IF(VLOOKUP(B31,NonFeed,3,FALSE)="per animal",Inputs!$F$3,1))</f>
        <v>600</v>
      </c>
      <c r="I31" s="149">
        <f>IF(Inputs!$F$3=0,"",IF(Flock!H31="","",Flock!H31/Inputs!$F$3))</f>
        <v>4</v>
      </c>
      <c r="J31" s="236">
        <f>IF(Inputs!$F$3=0,"",IF(H31="","",H31/(Inputs!$F$15-IF(Inputs!$F$6="Yes",0,Inputs!$F$4+Inputs!$F$5))))</f>
        <v>2.6666666666666665</v>
      </c>
      <c r="K31" s="332"/>
      <c r="L31" s="332"/>
      <c r="M31" s="332"/>
      <c r="N31" s="332"/>
      <c r="O31" s="332"/>
      <c r="P31" s="332"/>
      <c r="Q31" s="332"/>
      <c r="R31" s="332"/>
      <c r="S31" s="332"/>
      <c r="U31" s="332"/>
      <c r="V31" s="205"/>
      <c r="W31" s="205"/>
      <c r="X31" s="205"/>
      <c r="Y31" s="205"/>
      <c r="Z31" s="205"/>
      <c r="AA31" s="206"/>
      <c r="AB31" s="205"/>
    </row>
    <row r="32" spans="1:28">
      <c r="B32" s="92" t="str">
        <f>Inputs!B47</f>
        <v>Veterinary and Medical</v>
      </c>
      <c r="C32" s="74"/>
      <c r="D32" s="93"/>
      <c r="E32" s="136">
        <f t="shared" si="3"/>
        <v>1</v>
      </c>
      <c r="F32" s="103"/>
      <c r="G32" s="93"/>
      <c r="H32" s="223">
        <f>IF(B32="","",E32*VLOOKUP(B32,NonFeed,2,FALSE)*IF(VLOOKUP(B32,NonFeed,3,FALSE)="per animal",Inputs!$F$3,1))</f>
        <v>600</v>
      </c>
      <c r="I32" s="149">
        <f>IF(Inputs!$F$3=0,"",IF(Flock!H32="","",Flock!H32/Inputs!$F$3))</f>
        <v>4</v>
      </c>
      <c r="J32" s="236">
        <f>IF(Inputs!$F$3=0,"",IF(H32="","",H32/(Inputs!$F$15-IF(Inputs!$F$6="Yes",0,Inputs!$F$4+Inputs!$F$5))))</f>
        <v>2.6666666666666665</v>
      </c>
      <c r="K32" s="332"/>
      <c r="L32" s="332"/>
      <c r="M32" s="332"/>
      <c r="N32" s="332"/>
      <c r="O32" s="332"/>
      <c r="P32" s="332"/>
      <c r="Q32" s="332"/>
      <c r="R32" s="332"/>
      <c r="S32" s="332"/>
      <c r="U32" s="332"/>
      <c r="V32" s="205"/>
      <c r="W32" s="205"/>
      <c r="X32" s="205"/>
      <c r="Y32" s="205"/>
      <c r="Z32" s="205"/>
      <c r="AA32" s="206"/>
      <c r="AB32" s="205"/>
    </row>
    <row r="33" spans="1:28">
      <c r="B33" s="92" t="str">
        <f>Inputs!B48</f>
        <v>Weaned Lamb Marketing</v>
      </c>
      <c r="C33" s="74"/>
      <c r="D33" s="93"/>
      <c r="E33" s="136">
        <f t="shared" si="3"/>
        <v>1</v>
      </c>
      <c r="F33" s="103"/>
      <c r="G33" s="93"/>
      <c r="H33" s="223">
        <f>IF(B33="","",E33*VLOOKUP(B33,NonFeed,2,FALSE)*IF(VLOOKUP(B33,NonFeed,3,FALSE)="per animal",Inputs!$F$15-IF(Inputs!F6="No",Inputs!$F$4+Inputs!$F$5,0),1))</f>
        <v>562.5</v>
      </c>
      <c r="I33" s="149">
        <f>IF(Inputs!$F$3=0,"",IF(Flock!H33="","",Flock!H33/Inputs!$F$3))</f>
        <v>3.75</v>
      </c>
      <c r="J33" s="236">
        <f>IF(Inputs!$F$3=0,"",IF(H33="","",H33/(Inputs!$F$15-IF(Inputs!$F$6="Yes",0,Inputs!$F$4+Inputs!$F$5))))</f>
        <v>2.5</v>
      </c>
      <c r="K33" s="332"/>
      <c r="L33" s="332"/>
      <c r="M33" s="332"/>
      <c r="N33" s="332"/>
      <c r="O33" s="332"/>
      <c r="P33" s="332"/>
      <c r="Q33" s="332"/>
      <c r="R33" s="332"/>
      <c r="S33" s="332"/>
      <c r="U33" s="332"/>
      <c r="V33" s="205"/>
      <c r="W33" s="205"/>
      <c r="X33" s="205"/>
      <c r="Y33" s="205"/>
      <c r="Z33" s="205"/>
      <c r="AA33" s="206"/>
      <c r="AB33" s="205"/>
    </row>
    <row r="34" spans="1:28" s="84" customFormat="1">
      <c r="A34" s="312"/>
      <c r="B34" s="45" t="s">
        <v>102</v>
      </c>
      <c r="C34" s="74"/>
      <c r="D34" s="93"/>
      <c r="E34" s="136">
        <f t="shared" si="3"/>
        <v>1</v>
      </c>
      <c r="F34" s="103"/>
      <c r="G34" s="93"/>
      <c r="H34" s="223">
        <f>IF(B34="","",E34*VLOOKUP(B34,NonFeed,2,FALSE)*IF(VLOOKUP(B34,NonFeed,3,FALSE)="per animal",Inputs!$F$4,1))</f>
        <v>50</v>
      </c>
      <c r="I34" s="149">
        <f>IF(Inputs!$F$3=0,"",IF(Flock!H34="","",Flock!H34/Inputs!$F$3))</f>
        <v>0.33333333333333331</v>
      </c>
      <c r="J34" s="236">
        <f>IF(Inputs!$F$3=0,"",IF(H34="","",H34/(Inputs!$F$15-IF(Inputs!$F$6="Yes",0,Inputs!$F$4+Inputs!$F$5))))</f>
        <v>0.22222222222222221</v>
      </c>
      <c r="K34" s="332"/>
      <c r="L34" s="332"/>
      <c r="M34" s="332"/>
      <c r="N34" s="332"/>
      <c r="O34" s="332"/>
      <c r="P34" s="332"/>
      <c r="Q34" s="332"/>
      <c r="R34" s="332"/>
      <c r="S34" s="332"/>
      <c r="T34" s="333"/>
      <c r="U34" s="332"/>
      <c r="V34" s="205"/>
      <c r="W34" s="205"/>
      <c r="X34" s="205"/>
      <c r="Y34" s="205"/>
      <c r="Z34" s="205"/>
      <c r="AA34" s="206"/>
      <c r="AB34" s="205"/>
    </row>
    <row r="35" spans="1:28">
      <c r="B35" s="366" t="s">
        <v>167</v>
      </c>
      <c r="C35" s="74"/>
      <c r="D35" s="93"/>
      <c r="E35" s="136">
        <f t="shared" si="3"/>
        <v>1</v>
      </c>
      <c r="F35" s="103"/>
      <c r="G35" s="93"/>
      <c r="H35" s="223">
        <f>IF(B35="","",E35*VLOOKUP(B35,NonFeed,2,FALSE)*IF(VLOOKUP(B35,NonFeed,3,FALSE)="per animal",Inputs!$F$3,1))</f>
        <v>150</v>
      </c>
      <c r="I35" s="149">
        <f>IF(Inputs!$F$3=0,"",IF(Flock!H35="","",Flock!H35/Inputs!$F$3))</f>
        <v>1</v>
      </c>
      <c r="J35" s="236">
        <f>IF(Inputs!$F$3=0,"",IF(H35="","",H35/(Inputs!$F$15-IF(Inputs!$F$6="Yes",0,Inputs!$F$4+Inputs!$F$5))))</f>
        <v>0.66666666666666663</v>
      </c>
      <c r="K35" s="332"/>
      <c r="L35" s="332"/>
      <c r="M35" s="332"/>
      <c r="N35" s="332"/>
      <c r="O35" s="332"/>
      <c r="P35" s="332"/>
      <c r="Q35" s="332"/>
      <c r="R35" s="332"/>
      <c r="S35" s="332"/>
      <c r="U35" s="332"/>
      <c r="V35" s="205"/>
      <c r="W35" s="205"/>
      <c r="X35" s="205"/>
      <c r="Y35" s="205"/>
      <c r="Z35" s="205"/>
      <c r="AA35" s="206"/>
      <c r="AB35" s="205"/>
    </row>
    <row r="36" spans="1:28">
      <c r="B36" s="366"/>
      <c r="C36" s="93"/>
      <c r="D36" s="123"/>
      <c r="E36" s="136" t="str">
        <f t="shared" si="3"/>
        <v/>
      </c>
      <c r="F36" s="103"/>
      <c r="G36" s="93"/>
      <c r="H36" s="223" t="str">
        <f>IF(B36="","",E36*VLOOKUP(B36,NonFeed,2,FALSE)*IF(VLOOKUP(B36,NonFeed,3,FALSE)="per animal",Inputs!$F$3,1))</f>
        <v/>
      </c>
      <c r="I36" s="149" t="str">
        <f>IF(Inputs!$F$3=0,"",IF(Flock!H36="","",Flock!H36/Inputs!$F$3))</f>
        <v/>
      </c>
      <c r="J36" s="236" t="str">
        <f>IF(Inputs!$F$3=0,"",IF(H36="","",H36/(Inputs!$F$15-IF(Inputs!$F$6="Yes",0,Inputs!$F$4+Inputs!$F$5))))</f>
        <v/>
      </c>
      <c r="K36" s="332"/>
      <c r="L36" s="334"/>
      <c r="M36" s="332"/>
      <c r="N36" s="332"/>
      <c r="O36" s="332"/>
      <c r="P36" s="332"/>
      <c r="Q36" s="332"/>
      <c r="R36" s="332"/>
      <c r="S36" s="332"/>
      <c r="T36" s="333" t="str">
        <f>IF(Inputs!B52="","",Inputs!B52)</f>
        <v>Trucking</v>
      </c>
      <c r="U36" s="332"/>
      <c r="V36" s="205"/>
      <c r="W36" s="205"/>
      <c r="X36" s="205"/>
      <c r="Y36" s="205"/>
      <c r="Z36" s="205"/>
      <c r="AA36" s="206"/>
      <c r="AB36" s="205"/>
    </row>
    <row r="37" spans="1:28">
      <c r="B37" s="366"/>
      <c r="C37" s="103" t="s">
        <v>12</v>
      </c>
      <c r="D37" s="103"/>
      <c r="E37" s="136" t="str">
        <f t="shared" si="3"/>
        <v/>
      </c>
      <c r="F37" s="103" t="s">
        <v>12</v>
      </c>
      <c r="G37" s="93"/>
      <c r="H37" s="223" t="str">
        <f>IF(B37="","",E37*VLOOKUP(B37,NonFeed,2,FALSE)*IF(VLOOKUP(B37,NonFeed,3,FALSE)="per animal",Inputs!$F$3,1))</f>
        <v/>
      </c>
      <c r="I37" s="149" t="str">
        <f>IF(Inputs!$F$3=0,"",IF(Flock!H37="","",Flock!H37/Inputs!$F$3))</f>
        <v/>
      </c>
      <c r="J37" s="236" t="str">
        <f>IF(Inputs!$F$3=0,"",IF(H37="","",H37/(Inputs!$F$15-IF(Inputs!$F$6="Yes",0,Inputs!$F$4+Inputs!$F$5))))</f>
        <v/>
      </c>
      <c r="K37" s="332"/>
      <c r="L37" s="334"/>
      <c r="M37" s="332"/>
      <c r="N37" s="332"/>
      <c r="O37" s="332"/>
      <c r="P37" s="332"/>
      <c r="Q37" s="332"/>
      <c r="R37" s="332"/>
      <c r="S37" s="332"/>
      <c r="T37" s="333" t="str">
        <f>IF(Inputs!B53="","",Inputs!B53)</f>
        <v/>
      </c>
      <c r="U37" s="332"/>
      <c r="V37" s="205"/>
      <c r="W37" s="205"/>
      <c r="X37" s="205"/>
      <c r="Y37" s="205"/>
      <c r="Z37" s="205"/>
      <c r="AA37" s="206"/>
      <c r="AB37" s="205"/>
    </row>
    <row r="38" spans="1:28">
      <c r="B38" s="366" t="s">
        <v>12</v>
      </c>
      <c r="C38" s="103" t="s">
        <v>12</v>
      </c>
      <c r="D38" s="103"/>
      <c r="E38" s="136" t="str">
        <f t="shared" si="3"/>
        <v/>
      </c>
      <c r="F38" s="103" t="s">
        <v>12</v>
      </c>
      <c r="G38" s="93"/>
      <c r="H38" s="223" t="str">
        <f>IF(B38="","",E38*VLOOKUP(B38,NonFeed,2,FALSE)*IF(VLOOKUP(B38,NonFeed,3,FALSE)="per animal",Inputs!$F$3,1))</f>
        <v/>
      </c>
      <c r="I38" s="149" t="str">
        <f>IF(Inputs!$F$3=0,"",IF(Flock!H38="","",Flock!H38/Inputs!$F$3))</f>
        <v/>
      </c>
      <c r="J38" s="236" t="str">
        <f>IF(Inputs!$F$3=0,"",IF(H38="","",H38/(Inputs!$F$15-IF(Inputs!$F$6="Yes",0,Inputs!$F$4+Inputs!$F$5))))</f>
        <v/>
      </c>
      <c r="K38" s="332"/>
      <c r="L38" s="332"/>
      <c r="M38" s="332"/>
      <c r="N38" s="332"/>
      <c r="O38" s="332"/>
      <c r="P38" s="332"/>
      <c r="Q38" s="332"/>
      <c r="R38" s="332"/>
      <c r="S38" s="332"/>
      <c r="T38" s="333" t="str">
        <f>IF(Inputs!B54="","",Inputs!B54)</f>
        <v/>
      </c>
      <c r="U38" s="332"/>
      <c r="V38" s="205"/>
      <c r="W38" s="205"/>
      <c r="X38" s="205"/>
      <c r="Y38" s="205"/>
      <c r="Z38" s="205"/>
      <c r="AA38" s="205"/>
      <c r="AB38" s="205"/>
    </row>
    <row r="39" spans="1:28">
      <c r="B39" s="366"/>
      <c r="C39" s="103"/>
      <c r="D39" s="103"/>
      <c r="E39" s="136" t="str">
        <f t="shared" si="3"/>
        <v/>
      </c>
      <c r="F39" s="103"/>
      <c r="G39" s="93"/>
      <c r="H39" s="223" t="str">
        <f>IF(B39="","",E39*VLOOKUP(B39,NonFeed,2,FALSE)*IF(VLOOKUP(B39,NonFeed,3,FALSE)="per animal",Inputs!$F$3,1))</f>
        <v/>
      </c>
      <c r="I39" s="149" t="str">
        <f>IF(Inputs!$F$3=0,"",IF(Flock!H39="","",Flock!H39/Inputs!$F$3))</f>
        <v/>
      </c>
      <c r="J39" s="236" t="str">
        <f>IF(Inputs!$F$3=0,"",IF(H39="","",H39/(Inputs!$F$15-IF(Inputs!$F$6="Yes",0,Inputs!$F$4+Inputs!$F$5))))</f>
        <v/>
      </c>
      <c r="K39" s="332"/>
      <c r="L39" s="332"/>
      <c r="M39" s="332"/>
      <c r="N39" s="332"/>
      <c r="O39" s="332"/>
      <c r="P39" s="332"/>
      <c r="Q39" s="332"/>
      <c r="R39" s="332"/>
      <c r="S39" s="332"/>
      <c r="T39" s="333" t="str">
        <f>IF(Inputs!B55="","",Inputs!B55)</f>
        <v/>
      </c>
      <c r="U39" s="332"/>
      <c r="V39" s="205"/>
      <c r="W39" s="205"/>
      <c r="X39" s="205"/>
      <c r="Y39" s="205"/>
      <c r="Z39" s="205"/>
      <c r="AA39" s="205"/>
      <c r="AB39" s="205"/>
    </row>
    <row r="40" spans="1:28" ht="13.5" thickBot="1">
      <c r="B40" s="92" t="s">
        <v>48</v>
      </c>
      <c r="C40" s="74"/>
      <c r="D40" s="93"/>
      <c r="E40" s="136"/>
      <c r="F40" s="103"/>
      <c r="G40" s="123"/>
      <c r="H40" s="227">
        <f>((H27+SUM(H30:H32,H35:H39,H58:H61)+SUM($G46:$G52))/2+SUM(H33,H57))*Inputs!$D$74/2</f>
        <v>254.795625</v>
      </c>
      <c r="I40" s="150">
        <f>IF(Inputs!$F$3=0,"",IF(Flock!H40="","",Flock!H40/Inputs!$F$3))</f>
        <v>1.6986375</v>
      </c>
      <c r="J40" s="152">
        <f>IF(Inputs!$F$3=0,"",IF(H40="","",H40/(Inputs!$F$15-IF(Inputs!$F$6="Yes",0,Inputs!$F$4+Inputs!$F$5))))</f>
        <v>1.132425</v>
      </c>
      <c r="K40" s="332"/>
      <c r="L40" s="332"/>
      <c r="M40" s="332"/>
      <c r="N40" s="332"/>
      <c r="O40" s="332"/>
      <c r="P40" s="332"/>
      <c r="Q40" s="332"/>
      <c r="R40" s="332"/>
      <c r="S40" s="332"/>
      <c r="T40" s="333" t="str">
        <f>IF(Inputs!B56="","",Inputs!B56)</f>
        <v/>
      </c>
      <c r="U40" s="332"/>
      <c r="V40" s="205"/>
      <c r="W40" s="205"/>
      <c r="X40" s="205"/>
      <c r="Y40" s="205"/>
      <c r="Z40" s="205"/>
      <c r="AA40" s="205"/>
      <c r="AB40" s="205"/>
    </row>
    <row r="41" spans="1:28" ht="14.25" thickTop="1" thickBot="1">
      <c r="B41" s="96"/>
      <c r="C41" s="77"/>
      <c r="D41" s="97"/>
      <c r="E41" s="97"/>
      <c r="F41" s="154"/>
      <c r="G41" s="107" t="s">
        <v>65</v>
      </c>
      <c r="H41" s="181">
        <f>SUM(H30:H40)</f>
        <v>5867.2956249999997</v>
      </c>
      <c r="I41" s="347">
        <f>SUM(I30:I40)</f>
        <v>39.115304166666661</v>
      </c>
      <c r="J41" s="108">
        <f>SUM(J30:J40)</f>
        <v>26.076869444444448</v>
      </c>
      <c r="K41" s="332"/>
      <c r="L41" s="332"/>
      <c r="M41" s="332"/>
      <c r="N41" s="332"/>
      <c r="O41" s="332"/>
      <c r="P41" s="332"/>
      <c r="Q41" s="332"/>
      <c r="R41" s="332"/>
      <c r="S41" s="332"/>
      <c r="T41" s="333" t="str">
        <f>IF(Inputs!B57="","",Inputs!B57)</f>
        <v/>
      </c>
      <c r="U41" s="332"/>
      <c r="V41" s="205"/>
      <c r="W41" s="205"/>
      <c r="X41" s="205"/>
      <c r="Y41" s="205"/>
      <c r="Z41" s="205"/>
      <c r="AA41" s="205"/>
      <c r="AB41" s="205"/>
    </row>
    <row r="42" spans="1:28" ht="16.5" thickBot="1">
      <c r="B42" s="121"/>
      <c r="C42" s="81"/>
      <c r="D42" s="81"/>
      <c r="E42" s="81"/>
      <c r="F42" s="81"/>
      <c r="G42" s="62" t="s">
        <v>49</v>
      </c>
      <c r="H42" s="224">
        <f>SUM(H14:H15)+H27+H41</f>
        <v>16429.170624999999</v>
      </c>
      <c r="I42" s="151">
        <f>SUM(I14:I14)+I27+I41</f>
        <v>101.19447083333333</v>
      </c>
      <c r="J42" s="201">
        <f>SUM(J14:J14)+J27+J41</f>
        <v>67.62436944444444</v>
      </c>
      <c r="K42" s="332"/>
      <c r="L42" s="332"/>
      <c r="M42" s="332"/>
      <c r="N42" s="332"/>
      <c r="O42" s="332"/>
      <c r="P42" s="332"/>
      <c r="Q42" s="332"/>
      <c r="R42" s="332"/>
      <c r="S42" s="332"/>
      <c r="T42" s="333" t="str">
        <f>IF(Inputs!B58="","",Inputs!B58)</f>
        <v/>
      </c>
      <c r="U42" s="332"/>
      <c r="V42" s="205"/>
      <c r="W42" s="205"/>
      <c r="X42" s="205"/>
      <c r="Y42" s="205"/>
      <c r="Z42" s="205"/>
      <c r="AA42" s="205"/>
      <c r="AB42" s="205"/>
    </row>
    <row r="43" spans="1:28" ht="13.5" thickBot="1">
      <c r="B43" s="117"/>
      <c r="C43" s="65"/>
      <c r="D43" s="93"/>
      <c r="E43" s="65"/>
      <c r="F43" s="67"/>
      <c r="G43" s="67"/>
      <c r="H43" s="228"/>
      <c r="I43" s="67"/>
      <c r="J43" s="68"/>
      <c r="K43" s="332"/>
      <c r="L43" s="332"/>
      <c r="M43" s="332"/>
      <c r="N43" s="332"/>
      <c r="O43" s="332"/>
      <c r="P43" s="332"/>
      <c r="Q43" s="332"/>
      <c r="R43" s="332"/>
      <c r="S43" s="332"/>
      <c r="T43" s="333" t="str">
        <f>IF(Inputs!B59="","",Inputs!B59)</f>
        <v/>
      </c>
      <c r="U43" s="332"/>
      <c r="V43" s="205"/>
      <c r="W43" s="205"/>
      <c r="X43" s="205"/>
      <c r="Y43" s="205"/>
      <c r="Z43" s="205"/>
      <c r="AA43" s="205"/>
      <c r="AB43" s="205"/>
    </row>
    <row r="44" spans="1:28" ht="27" thickBot="1">
      <c r="B44" s="121" t="s">
        <v>50</v>
      </c>
      <c r="C44" s="221"/>
      <c r="D44" s="222"/>
      <c r="E44" s="222"/>
      <c r="F44" s="222"/>
      <c r="G44" s="222"/>
      <c r="H44" s="217" t="s">
        <v>137</v>
      </c>
      <c r="I44" s="190" t="s">
        <v>111</v>
      </c>
      <c r="J44" s="239" t="s">
        <v>126</v>
      </c>
      <c r="K44" s="332"/>
      <c r="L44" s="332"/>
      <c r="M44" s="332"/>
      <c r="N44" s="332"/>
      <c r="O44" s="332"/>
      <c r="P44" s="332"/>
      <c r="Q44" s="332"/>
      <c r="R44" s="332"/>
      <c r="S44" s="332"/>
      <c r="U44" s="332"/>
      <c r="V44" s="205"/>
      <c r="W44" s="205"/>
      <c r="X44" s="205"/>
      <c r="Y44" s="205"/>
      <c r="Z44" s="205"/>
      <c r="AA44" s="205"/>
      <c r="AB44" s="205"/>
    </row>
    <row r="45" spans="1:28" ht="25.5">
      <c r="B45" s="90" t="s">
        <v>51</v>
      </c>
      <c r="C45" s="155"/>
      <c r="D45" s="89"/>
      <c r="E45" s="91" t="s">
        <v>62</v>
      </c>
      <c r="F45" s="156" t="s">
        <v>67</v>
      </c>
      <c r="G45" s="91" t="s">
        <v>20</v>
      </c>
      <c r="H45" s="229" t="s">
        <v>41</v>
      </c>
      <c r="I45" s="79" t="s">
        <v>41</v>
      </c>
      <c r="J45" s="157" t="s">
        <v>41</v>
      </c>
      <c r="K45" s="332"/>
      <c r="L45" s="332"/>
      <c r="M45" s="332"/>
      <c r="N45" s="332"/>
      <c r="O45" s="332"/>
      <c r="P45" s="332"/>
      <c r="Q45" s="332"/>
      <c r="R45" s="332"/>
      <c r="S45" s="332"/>
      <c r="U45" s="332"/>
      <c r="V45" s="205"/>
      <c r="W45" s="205"/>
      <c r="X45" s="205"/>
      <c r="Y45" s="205"/>
      <c r="Z45" s="205"/>
      <c r="AA45" s="205"/>
      <c r="AB45" s="205"/>
    </row>
    <row r="46" spans="1:28">
      <c r="B46" s="92" t="s">
        <v>105</v>
      </c>
      <c r="C46" s="74"/>
      <c r="D46" s="93"/>
      <c r="E46" s="102">
        <f>IF($H$10=0,0,IF($B46="","",IF(VLOOKUP($B46,Depreciable,4,FALSE)=0,"",(VLOOKUP($B46,Depreciable,2,FALSE)-VLOOKUP($B46,Depreciable,3,FALSE))/VLOOKUP($B46,Depreciable,4,FALSE)*IF(VLOOKUP(B46,Depreciable,6,FALSE)="",$H$10/($H$10+'Finish Lambs'!$H$8),VLOOKUP(B46,Depreciable,6,FALSE)))))</f>
        <v>0</v>
      </c>
      <c r="F46" s="102">
        <f>IF($B46="","",(VLOOKUP($B46,Depreciable,2,FALSE)*Inputs!$D$75)*IF(VLOOKUP(B46,Depreciable,6,FALSE)="",$H$10/($H$10+'Finish Lambs'!$H$8),VLOOKUP(B46,Depreciable,6,FALSE)))</f>
        <v>0</v>
      </c>
      <c r="G46" s="102">
        <f>IF($B46="","",(VLOOKUP($B46,Depreciable,5,FALSE))*IF(VLOOKUP(B46,Depreciable,6,FALSE)="",$H$10/($H$10+'Finish Lambs'!$H$8),VLOOKUP(B46,Depreciable,6,FALSE)))</f>
        <v>600</v>
      </c>
      <c r="H46" s="223">
        <f>SUM(E46:G46)</f>
        <v>600</v>
      </c>
      <c r="I46" s="149">
        <f>IF(Inputs!$F$3=0,"",IF(Flock!H46=0,"",Flock!H46/Inputs!$F$3))</f>
        <v>4</v>
      </c>
      <c r="J46" s="94">
        <f>IF(Inputs!$F$3=0,"",IF(H46=0,"",H46/(Inputs!$F$3-Inputs!$F$4-Inputs!$F$5)))</f>
        <v>4.8</v>
      </c>
      <c r="K46" s="332"/>
      <c r="L46" s="334"/>
      <c r="M46" s="332"/>
      <c r="N46" s="332"/>
      <c r="O46" s="332"/>
      <c r="P46" s="332"/>
      <c r="Q46" s="332"/>
      <c r="R46" s="332"/>
      <c r="S46" s="332"/>
      <c r="T46" s="333" t="str">
        <f>IF(Inputs!B67="","",Inputs!B67)</f>
        <v/>
      </c>
      <c r="U46" s="332"/>
      <c r="V46" s="205"/>
      <c r="W46" s="205"/>
      <c r="X46" s="205"/>
      <c r="Y46" s="205"/>
      <c r="Z46" s="205"/>
      <c r="AA46" s="205"/>
      <c r="AB46" s="205"/>
    </row>
    <row r="47" spans="1:28">
      <c r="B47" s="92" t="s">
        <v>106</v>
      </c>
      <c r="C47" s="74"/>
      <c r="D47" s="123"/>
      <c r="E47" s="102">
        <f>IF($H$10=0,0,IF($B47="","",IF(VLOOKUP($B47,Depreciable,4,FALSE)=0,"",(VLOOKUP($B47,Depreciable,2,FALSE)-VLOOKUP($B47,Depreciable,3,FALSE))/VLOOKUP($B47,Depreciable,4,FALSE)*IF(VLOOKUP(B47,Depreciable,6,FALSE)="",$H$10/($H$10+'Finish Lambs'!$H$8),VLOOKUP(B47,Depreciable,6,FALSE)))))</f>
        <v>0</v>
      </c>
      <c r="F47" s="102">
        <f>IF($B47="","",(VLOOKUP($B47,Depreciable,2,FALSE)*Inputs!$D$75)*IF(VLOOKUP(B47,Depreciable,6,FALSE)="",$H$10/($H$10+'Finish Lambs'!$H$8),VLOOKUP(B47,Depreciable,6,FALSE)))</f>
        <v>0</v>
      </c>
      <c r="G47" s="102">
        <f>IF($B47="","",(VLOOKUP($B47,Depreciable,5,FALSE))*IF(VLOOKUP(B47,Depreciable,6,FALSE)="",$H$10/($H$10+'Finish Lambs'!$H$8),VLOOKUP(B47,Depreciable,6,FALSE)))</f>
        <v>600</v>
      </c>
      <c r="H47" s="223">
        <f t="shared" ref="H47:H52" si="4">SUM(E47:G47)</f>
        <v>600</v>
      </c>
      <c r="I47" s="149">
        <f>IF(Inputs!$F$3=0,"",IF(Flock!H47=0,"",Flock!H47/Inputs!$F$3))</f>
        <v>4</v>
      </c>
      <c r="J47" s="94">
        <f>IF(Inputs!$F$3=0,"",IF(H47=0,"",H47/(Inputs!$F$3-Inputs!$F$4-Inputs!$F$5)))</f>
        <v>4.8</v>
      </c>
      <c r="K47" s="332"/>
      <c r="L47" s="334"/>
      <c r="M47" s="332"/>
      <c r="N47" s="332"/>
      <c r="O47" s="332"/>
      <c r="P47" s="332"/>
      <c r="Q47" s="332"/>
      <c r="R47" s="332"/>
      <c r="S47" s="332"/>
      <c r="T47" s="333" t="str">
        <f>IF(Inputs!B68="","",Inputs!B68)</f>
        <v/>
      </c>
      <c r="U47" s="332"/>
      <c r="V47" s="205"/>
      <c r="W47" s="205"/>
      <c r="X47" s="205"/>
      <c r="Y47" s="205"/>
      <c r="Z47" s="205"/>
      <c r="AA47" s="205"/>
      <c r="AB47" s="205"/>
    </row>
    <row r="48" spans="1:28">
      <c r="B48" s="368"/>
      <c r="C48" s="103" t="s">
        <v>12</v>
      </c>
      <c r="D48" s="103"/>
      <c r="E48" s="102" t="str">
        <f>IF($H$10=0,0,IF($B48="","",IF(VLOOKUP($B48,Depreciable,4,FALSE)=0,"",(VLOOKUP($B48,Depreciable,2,FALSE)-VLOOKUP($B48,Depreciable,3,FALSE))/VLOOKUP($B48,Depreciable,4,FALSE)*IF(VLOOKUP(B48,Depreciable,6,FALSE)="",$H$10/($H$10+'Finish Lambs'!$H$8),VLOOKUP(B48,Depreciable,6,FALSE)))))</f>
        <v/>
      </c>
      <c r="F48" s="102" t="str">
        <f>IF($B48="","",(VLOOKUP($B48,Depreciable,2,FALSE)*Inputs!$D$75)*IF(VLOOKUP(B48,Depreciable,6,FALSE)="",$H$10/($H$10+'Finish Lambs'!$H$8),VLOOKUP(B48,Depreciable,6,FALSE)))</f>
        <v/>
      </c>
      <c r="G48" s="102" t="str">
        <f>IF($B48="","",(VLOOKUP($B48,Depreciable,5,FALSE))*IF(VLOOKUP(B48,Depreciable,6,FALSE)="",$H$10/($H$10+'Finish Lambs'!$H$8),VLOOKUP(B48,Depreciable,6,FALSE)))</f>
        <v/>
      </c>
      <c r="H48" s="223">
        <f t="shared" si="4"/>
        <v>0</v>
      </c>
      <c r="I48" s="149" t="str">
        <f>IF(Inputs!$F$3=0,"",IF(Flock!H48=0,"",Flock!H48/Inputs!$F$3))</f>
        <v/>
      </c>
      <c r="J48" s="94" t="str">
        <f>IF(Inputs!$F$3=0,"",IF(H48=0,"",H48/(Inputs!$F$3-Inputs!$F$4-Inputs!$F$5)))</f>
        <v/>
      </c>
      <c r="K48" s="332"/>
      <c r="L48" s="332"/>
      <c r="M48" s="332"/>
      <c r="N48" s="332"/>
      <c r="O48" s="332"/>
      <c r="P48" s="332"/>
      <c r="Q48" s="332"/>
      <c r="R48" s="332"/>
      <c r="S48" s="332"/>
      <c r="T48" s="333" t="str">
        <f>IF(Inputs!B69="","",Inputs!B69)</f>
        <v/>
      </c>
      <c r="U48" s="332"/>
      <c r="V48" s="205"/>
      <c r="W48" s="205"/>
      <c r="X48" s="205"/>
      <c r="Y48" s="205"/>
      <c r="Z48" s="205"/>
      <c r="AA48" s="205"/>
      <c r="AB48" s="205"/>
    </row>
    <row r="49" spans="2:28">
      <c r="B49" s="368"/>
      <c r="C49" s="103" t="s">
        <v>12</v>
      </c>
      <c r="D49" s="103"/>
      <c r="E49" s="102" t="str">
        <f>IF($H$10=0,0,IF($B49="","",IF(VLOOKUP($B49,Depreciable,4,FALSE)=0,"",(VLOOKUP($B49,Depreciable,2,FALSE)-VLOOKUP($B49,Depreciable,3,FALSE))/VLOOKUP($B49,Depreciable,4,FALSE)*IF(VLOOKUP(B49,Depreciable,6,FALSE)="",$H$10/($H$10+'Finish Lambs'!$H$8),VLOOKUP(B49,Depreciable,6,FALSE)))))</f>
        <v/>
      </c>
      <c r="F49" s="102" t="str">
        <f>IF($B49="","",(VLOOKUP($B49,Depreciable,2,FALSE)*Inputs!$D$75)*IF(VLOOKUP(B49,Depreciable,6,FALSE)="",$H$10/($H$10+'Finish Lambs'!$H$8),VLOOKUP(B49,Depreciable,6,FALSE)))</f>
        <v/>
      </c>
      <c r="G49" s="102" t="str">
        <f>IF($B49="","",(VLOOKUP($B49,Depreciable,5,FALSE))*IF(VLOOKUP(B49,Depreciable,6,FALSE)="",$H$10/($H$10+'Finish Lambs'!$H$8),VLOOKUP(B49,Depreciable,6,FALSE)))</f>
        <v/>
      </c>
      <c r="H49" s="223">
        <f t="shared" si="4"/>
        <v>0</v>
      </c>
      <c r="I49" s="149" t="str">
        <f>IF(Inputs!$F$3=0,"",IF(Flock!H49=0,"",Flock!H49/Inputs!$F$3))</f>
        <v/>
      </c>
      <c r="J49" s="94" t="str">
        <f>IF(Inputs!$F$3=0,"",IF(H49=0,"",H49/(Inputs!$F$3-Inputs!$F$4-Inputs!$F$5)))</f>
        <v/>
      </c>
      <c r="K49" s="332"/>
      <c r="L49" s="332"/>
      <c r="M49" s="332"/>
      <c r="N49" s="332"/>
      <c r="O49" s="332"/>
      <c r="P49" s="332"/>
      <c r="Q49" s="332"/>
      <c r="R49" s="332"/>
      <c r="S49" s="332"/>
      <c r="T49" s="333" t="str">
        <f>IF(Inputs!B70="","",Inputs!B70)</f>
        <v/>
      </c>
      <c r="U49" s="332"/>
      <c r="V49" s="205"/>
      <c r="W49" s="205"/>
      <c r="X49" s="205"/>
      <c r="Y49" s="205"/>
      <c r="Z49" s="205"/>
      <c r="AA49" s="205"/>
      <c r="AB49" s="205"/>
    </row>
    <row r="50" spans="2:28">
      <c r="B50" s="368"/>
      <c r="C50" s="103" t="s">
        <v>12</v>
      </c>
      <c r="D50" s="103"/>
      <c r="E50" s="102" t="str">
        <f>IF($H$10=0,0,IF($B50="","",IF(VLOOKUP($B50,Depreciable,4,FALSE)=0,"",(VLOOKUP($B50,Depreciable,2,FALSE)-VLOOKUP($B50,Depreciable,3,FALSE))/VLOOKUP($B50,Depreciable,4,FALSE)*IF(VLOOKUP(B50,Depreciable,6,FALSE)="",$H$10/($H$10+'Finish Lambs'!$H$8),VLOOKUP(B50,Depreciable,6,FALSE)))))</f>
        <v/>
      </c>
      <c r="F50" s="102" t="str">
        <f>IF($B50="","",(VLOOKUP($B50,Depreciable,2,FALSE)*Inputs!$D$75)*IF(VLOOKUP(B50,Depreciable,6,FALSE)="",$H$10/($H$10+'Finish Lambs'!$H$8),VLOOKUP(B50,Depreciable,6,FALSE)))</f>
        <v/>
      </c>
      <c r="G50" s="102" t="str">
        <f>IF($B50="","",(VLOOKUP($B50,Depreciable,5,FALSE))*IF(VLOOKUP(B50,Depreciable,6,FALSE)="",$H$10/($H$10+'Finish Lambs'!$H$8),VLOOKUP(B50,Depreciable,6,FALSE)))</f>
        <v/>
      </c>
      <c r="H50" s="223">
        <f t="shared" si="4"/>
        <v>0</v>
      </c>
      <c r="I50" s="149" t="str">
        <f>IF(Inputs!$F$3=0,"",IF(Flock!H50=0,"",Flock!H50/Inputs!$F$3))</f>
        <v/>
      </c>
      <c r="J50" s="94" t="str">
        <f>IF(Inputs!$F$3=0,"",IF(H50=0,"",H50/(Inputs!$F$3-Inputs!$F$4-Inputs!$F$5)))</f>
        <v/>
      </c>
      <c r="K50" s="332"/>
      <c r="L50" s="332"/>
      <c r="M50" s="332"/>
      <c r="N50" s="332"/>
      <c r="O50" s="332"/>
      <c r="P50" s="332"/>
      <c r="Q50" s="332"/>
      <c r="R50" s="332"/>
      <c r="S50" s="332"/>
      <c r="T50" s="333" t="str">
        <f>IF(Inputs!B71="","",Inputs!B71)</f>
        <v/>
      </c>
      <c r="U50" s="332"/>
      <c r="V50" s="205"/>
      <c r="W50" s="205"/>
      <c r="X50" s="205"/>
      <c r="Y50" s="205"/>
      <c r="Z50" s="205"/>
      <c r="AA50" s="205"/>
      <c r="AB50" s="205"/>
    </row>
    <row r="51" spans="2:28">
      <c r="B51" s="368"/>
      <c r="C51" s="103" t="s">
        <v>12</v>
      </c>
      <c r="D51" s="103"/>
      <c r="E51" s="102" t="str">
        <f>IF($H$10=0,0,IF($B51="","",IF(VLOOKUP($B51,Depreciable,4,FALSE)=0,"",(VLOOKUP($B51,Depreciable,2,FALSE)-VLOOKUP($B51,Depreciable,3,FALSE))/VLOOKUP($B51,Depreciable,4,FALSE)*IF(VLOOKUP(B51,Depreciable,6,FALSE)="",$H$10/($H$10+'Finish Lambs'!$H$8),VLOOKUP(B51,Depreciable,6,FALSE)))))</f>
        <v/>
      </c>
      <c r="F51" s="102" t="str">
        <f>IF($B51="","",(VLOOKUP($B51,Depreciable,2,FALSE)*Inputs!$D$75)*IF(VLOOKUP(B51,Depreciable,6,FALSE)="",$H$10/($H$10+'Finish Lambs'!$H$8),VLOOKUP(B51,Depreciable,6,FALSE)))</f>
        <v/>
      </c>
      <c r="G51" s="102" t="str">
        <f>IF($B51="","",(VLOOKUP($B51,Depreciable,5,FALSE))*IF(VLOOKUP(B51,Depreciable,6,FALSE)="",$H$10/($H$10+'Finish Lambs'!$H$8),VLOOKUP(B51,Depreciable,6,FALSE)))</f>
        <v/>
      </c>
      <c r="H51" s="223">
        <f t="shared" si="4"/>
        <v>0</v>
      </c>
      <c r="I51" s="149" t="str">
        <f>IF(Inputs!$F$3=0,"",IF(Flock!H51=0,"",Flock!H51/Inputs!$F$3))</f>
        <v/>
      </c>
      <c r="J51" s="94" t="str">
        <f>IF(Inputs!$F$3=0,"",IF(H51=0,"",H51/(Inputs!$F$3-Inputs!$F$4-Inputs!$F$5)))</f>
        <v/>
      </c>
      <c r="K51" s="332"/>
      <c r="L51" s="332"/>
      <c r="M51" s="332"/>
      <c r="N51" s="332"/>
      <c r="O51" s="332"/>
      <c r="P51" s="332"/>
      <c r="Q51" s="332"/>
      <c r="R51" s="332"/>
      <c r="S51" s="332"/>
      <c r="U51" s="332"/>
      <c r="V51" s="205"/>
      <c r="W51" s="205"/>
      <c r="X51" s="205"/>
      <c r="Y51" s="205"/>
      <c r="Z51" s="205"/>
      <c r="AA51" s="205"/>
      <c r="AB51" s="205"/>
    </row>
    <row r="52" spans="2:28" ht="13.5" thickBot="1">
      <c r="B52" s="368"/>
      <c r="C52" s="103" t="s">
        <v>12</v>
      </c>
      <c r="D52" s="103"/>
      <c r="E52" s="102" t="str">
        <f>IF($H$10=0,0,IF($B52="","",IF(VLOOKUP($B52,Depreciable,4,FALSE)=0,"",(VLOOKUP($B52,Depreciable,2,FALSE)-VLOOKUP($B52,Depreciable,3,FALSE))/VLOOKUP($B52,Depreciable,4,FALSE)*IF(VLOOKUP(B52,Depreciable,6,FALSE)="",$H$10/($H$10+'Finish Lambs'!$H$8),VLOOKUP(B52,Depreciable,6,FALSE)))))</f>
        <v/>
      </c>
      <c r="F52" s="102" t="str">
        <f>IF($B52="","",(VLOOKUP($B52,Depreciable,2,FALSE)*Inputs!$D$75)*IF(VLOOKUP(B52,Depreciable,6,FALSE)="",$H$10/($H$10+'Finish Lambs'!$H$8),VLOOKUP(B52,Depreciable,6,FALSE)))</f>
        <v/>
      </c>
      <c r="G52" s="102" t="str">
        <f>IF($B52="","",(VLOOKUP($B52,Depreciable,5,FALSE))*IF(VLOOKUP(B52,Depreciable,6,FALSE)="",$H$10/($H$10+'Finish Lambs'!$H$8),VLOOKUP(B52,Depreciable,6,FALSE)))</f>
        <v/>
      </c>
      <c r="H52" s="227">
        <f t="shared" si="4"/>
        <v>0</v>
      </c>
      <c r="I52" s="150" t="str">
        <f>IF(Inputs!$F$3=0,"",IF(Flock!H52=0,"",Flock!H52/Inputs!$F$3))</f>
        <v/>
      </c>
      <c r="J52" s="235" t="str">
        <f>IF(Inputs!$F$3=0,"",IF(H52=0,"",H52/(Inputs!$F$3-Inputs!$F$4-Inputs!$F$5)))</f>
        <v/>
      </c>
      <c r="K52" s="332"/>
      <c r="L52" s="332"/>
      <c r="M52" s="332"/>
      <c r="N52" s="332"/>
      <c r="O52" s="332"/>
      <c r="P52" s="332"/>
      <c r="Q52" s="332"/>
      <c r="R52" s="332"/>
      <c r="S52" s="332"/>
      <c r="U52" s="332"/>
      <c r="V52" s="205"/>
      <c r="W52" s="205"/>
      <c r="X52" s="205"/>
      <c r="Y52" s="205"/>
      <c r="Z52" s="205"/>
      <c r="AA52" s="205"/>
      <c r="AB52" s="205"/>
    </row>
    <row r="53" spans="2:28" ht="13.5" thickTop="1">
      <c r="B53" s="92"/>
      <c r="C53" s="76"/>
      <c r="D53" s="103"/>
      <c r="E53" s="103"/>
      <c r="F53" s="72" t="s">
        <v>66</v>
      </c>
      <c r="G53" s="72"/>
      <c r="H53" s="228">
        <f>SUM(H46:H52)</f>
        <v>1200</v>
      </c>
      <c r="I53" s="264">
        <f>SUM(I46:I52)</f>
        <v>8</v>
      </c>
      <c r="J53" s="158">
        <f>SUM(J46:J52)</f>
        <v>9.6</v>
      </c>
      <c r="K53" s="332"/>
      <c r="L53" s="332"/>
      <c r="M53" s="332"/>
      <c r="N53" s="332"/>
      <c r="O53" s="332"/>
      <c r="P53" s="332"/>
      <c r="Q53" s="332"/>
      <c r="R53" s="332"/>
      <c r="S53" s="332"/>
      <c r="U53" s="332"/>
      <c r="V53" s="205"/>
      <c r="W53" s="205"/>
      <c r="X53" s="205"/>
      <c r="Y53" s="205"/>
      <c r="Z53" s="205"/>
      <c r="AA53" s="205"/>
      <c r="AB53" s="205"/>
    </row>
    <row r="54" spans="2:28">
      <c r="B54" s="92"/>
      <c r="C54" s="74"/>
      <c r="D54" s="93"/>
      <c r="E54" s="93"/>
      <c r="F54" s="105"/>
      <c r="G54" s="105"/>
      <c r="H54" s="228"/>
      <c r="I54" s="105"/>
      <c r="J54" s="265"/>
      <c r="K54" s="332"/>
      <c r="L54" s="332"/>
      <c r="M54" s="332"/>
      <c r="N54" s="332"/>
      <c r="O54" s="332"/>
      <c r="P54" s="332"/>
      <c r="Q54" s="332"/>
      <c r="R54" s="332"/>
      <c r="S54" s="332"/>
      <c r="U54" s="332"/>
      <c r="V54" s="205"/>
      <c r="W54" s="205"/>
      <c r="X54" s="205"/>
      <c r="Y54" s="205"/>
      <c r="Z54" s="205"/>
      <c r="AA54" s="205"/>
      <c r="AB54" s="205"/>
    </row>
    <row r="55" spans="2:28">
      <c r="B55" s="134" t="s">
        <v>73</v>
      </c>
      <c r="C55" s="74"/>
      <c r="D55" s="93"/>
      <c r="E55" s="147" t="s">
        <v>64</v>
      </c>
      <c r="F55" s="93"/>
      <c r="G55" s="93"/>
      <c r="H55" s="266" t="s">
        <v>41</v>
      </c>
      <c r="I55" s="267" t="s">
        <v>41</v>
      </c>
      <c r="J55" s="263" t="s">
        <v>41</v>
      </c>
      <c r="K55" s="332"/>
      <c r="L55" s="332"/>
      <c r="M55" s="332"/>
      <c r="N55" s="332"/>
      <c r="O55" s="332"/>
      <c r="P55" s="332"/>
      <c r="Q55" s="332"/>
      <c r="R55" s="332"/>
      <c r="S55" s="332"/>
      <c r="U55" s="332"/>
      <c r="V55" s="205"/>
      <c r="W55" s="205"/>
      <c r="X55" s="205"/>
      <c r="Y55" s="205"/>
      <c r="Z55" s="205"/>
      <c r="AA55" s="205"/>
      <c r="AB55" s="205"/>
    </row>
    <row r="56" spans="2:28">
      <c r="B56" s="92" t="str">
        <f>Inputs!B78</f>
        <v>Real Estate Value</v>
      </c>
      <c r="C56" s="74"/>
      <c r="D56" s="93"/>
      <c r="E56" s="292">
        <f t="shared" ref="E56:E61" si="5">VLOOKUP(B56,Overhead,5,FALSE)</f>
        <v>1</v>
      </c>
      <c r="F56" s="93"/>
      <c r="G56" s="93"/>
      <c r="H56" s="223">
        <f>E56*Inputs!D78*Inputs!D75</f>
        <v>375</v>
      </c>
      <c r="I56" s="149">
        <f>IF(Inputs!$F$3=0,0,IF(H56="","",H56/((Inputs!$F$3-Inputs!$F$4)*2)))</f>
        <v>1.4423076923076923</v>
      </c>
      <c r="J56" s="94">
        <f>IF(Inputs!$F$15=0,0,IF(B56="","",IF(H56="","",H56/Inputs!$F$15)))</f>
        <v>1.6666666666666667</v>
      </c>
      <c r="K56" s="332"/>
      <c r="L56" s="332"/>
      <c r="M56" s="332"/>
      <c r="N56" s="332"/>
      <c r="O56" s="332"/>
      <c r="P56" s="332"/>
      <c r="Q56" s="332"/>
      <c r="R56" s="332"/>
      <c r="S56" s="332"/>
      <c r="U56" s="332"/>
      <c r="V56" s="205"/>
      <c r="W56" s="205"/>
      <c r="X56" s="205"/>
      <c r="Y56" s="205"/>
      <c r="Z56" s="205"/>
      <c r="AA56" s="205"/>
      <c r="AB56" s="205"/>
    </row>
    <row r="57" spans="2:28">
      <c r="B57" s="92" t="str">
        <f>Inputs!B79</f>
        <v>Real Estate Tax</v>
      </c>
      <c r="C57" s="74"/>
      <c r="D57" s="93"/>
      <c r="E57" s="292">
        <f t="shared" si="5"/>
        <v>1</v>
      </c>
      <c r="F57" s="93"/>
      <c r="G57" s="93"/>
      <c r="H57" s="223">
        <f>E57*Inputs!D79</f>
        <v>170</v>
      </c>
      <c r="I57" s="149">
        <f>IF(Inputs!$F$3=0,0,IF(H57="","",H57/((Inputs!$F$3-Inputs!$F$4)*2)))</f>
        <v>0.65384615384615385</v>
      </c>
      <c r="J57" s="94">
        <f>IF(Inputs!$F$15=0,0,IF(B57="","",IF(H57="","",H57/Inputs!$F$15)))</f>
        <v>0.75555555555555554</v>
      </c>
      <c r="K57" s="332"/>
      <c r="L57" s="332"/>
      <c r="M57" s="332"/>
      <c r="N57" s="332"/>
      <c r="O57" s="332"/>
      <c r="P57" s="332"/>
      <c r="Q57" s="332"/>
      <c r="R57" s="332"/>
      <c r="S57" s="332"/>
      <c r="U57" s="332"/>
      <c r="V57" s="205"/>
      <c r="W57" s="205"/>
      <c r="X57" s="205"/>
      <c r="Y57" s="205"/>
      <c r="Z57" s="205"/>
      <c r="AA57" s="205"/>
      <c r="AB57" s="205"/>
    </row>
    <row r="58" spans="2:28">
      <c r="B58" s="92" t="str">
        <f>Inputs!B80</f>
        <v>Annual Insurance Premium</v>
      </c>
      <c r="C58" s="74"/>
      <c r="D58" s="93"/>
      <c r="E58" s="292">
        <f t="shared" si="5"/>
        <v>1</v>
      </c>
      <c r="F58" s="93"/>
      <c r="G58" s="93"/>
      <c r="H58" s="223">
        <f>E58*Inputs!D80</f>
        <v>0</v>
      </c>
      <c r="I58" s="149">
        <f>IF(Inputs!$F$3=0,0,IF(H58="","",H58/((Inputs!$F$3-Inputs!$F$4)*2)))</f>
        <v>0</v>
      </c>
      <c r="J58" s="94">
        <f>IF(Inputs!$F$15=0,0,IF(B58="","",IF(H58="","",H58/Inputs!$F$15)))</f>
        <v>0</v>
      </c>
      <c r="K58" s="332"/>
      <c r="L58" s="332"/>
      <c r="M58" s="332"/>
      <c r="N58" s="332"/>
      <c r="O58" s="332"/>
      <c r="P58" s="332"/>
      <c r="Q58" s="332"/>
      <c r="R58" s="332"/>
      <c r="S58" s="332"/>
      <c r="U58" s="332"/>
      <c r="V58" s="205"/>
      <c r="W58" s="205"/>
      <c r="X58" s="205"/>
      <c r="Y58" s="205"/>
      <c r="Z58" s="205"/>
      <c r="AA58" s="205"/>
      <c r="AB58" s="205"/>
    </row>
    <row r="59" spans="2:28">
      <c r="B59" s="92" t="str">
        <f>Inputs!B81</f>
        <v>Professional Fees</v>
      </c>
      <c r="C59" s="74"/>
      <c r="D59" s="93"/>
      <c r="E59" s="292">
        <f t="shared" si="5"/>
        <v>1</v>
      </c>
      <c r="F59" s="93"/>
      <c r="G59" s="93"/>
      <c r="H59" s="223">
        <f>E59*Inputs!D81</f>
        <v>300</v>
      </c>
      <c r="I59" s="149">
        <f>IF(Inputs!$F$3=0,0,IF(H59="","",H59/((Inputs!$F$3-Inputs!$F$4)*2)))</f>
        <v>1.1538461538461537</v>
      </c>
      <c r="J59" s="94">
        <f>IF(Inputs!$F$15=0,0,IF(B59="","",IF(H59="","",H59/Inputs!$F$15)))</f>
        <v>1.3333333333333333</v>
      </c>
      <c r="K59" s="332"/>
      <c r="L59" s="332"/>
      <c r="M59" s="332"/>
      <c r="N59" s="332"/>
      <c r="O59" s="332"/>
      <c r="P59" s="332"/>
      <c r="Q59" s="332"/>
      <c r="R59" s="332"/>
      <c r="S59" s="332"/>
      <c r="U59" s="332"/>
      <c r="V59" s="205"/>
      <c r="W59" s="205"/>
      <c r="X59" s="205"/>
      <c r="Y59" s="205"/>
      <c r="Z59" s="205"/>
      <c r="AA59" s="205"/>
      <c r="AB59" s="205"/>
    </row>
    <row r="60" spans="2:28">
      <c r="B60" s="92" t="str">
        <f>Inputs!B82</f>
        <v>Annual Management Charge</v>
      </c>
      <c r="C60" s="74"/>
      <c r="D60" s="93"/>
      <c r="E60" s="292">
        <f t="shared" si="5"/>
        <v>0</v>
      </c>
      <c r="F60" s="93"/>
      <c r="G60" s="93"/>
      <c r="H60" s="223">
        <f>E60*Inputs!D82</f>
        <v>0</v>
      </c>
      <c r="I60" s="149">
        <f>IF(Inputs!$F$3=0,0,IF(H60="","",H60/((Inputs!$F$3-Inputs!$F$4)*2)))</f>
        <v>0</v>
      </c>
      <c r="J60" s="94">
        <f>IF(Inputs!$F$15=0,0,IF(B60="","",IF(H60="","",H60/Inputs!$F$15)))</f>
        <v>0</v>
      </c>
      <c r="K60" s="332"/>
      <c r="L60" s="332"/>
      <c r="M60" s="332"/>
      <c r="N60" s="332"/>
      <c r="O60" s="332"/>
      <c r="P60" s="332"/>
      <c r="Q60" s="332"/>
      <c r="R60" s="332"/>
      <c r="S60" s="332"/>
      <c r="U60" s="332"/>
      <c r="V60" s="205"/>
      <c r="W60" s="205"/>
      <c r="X60" s="205"/>
      <c r="Y60" s="205"/>
      <c r="Z60" s="205"/>
      <c r="AA60" s="205"/>
      <c r="AB60" s="205"/>
    </row>
    <row r="61" spans="2:28" ht="13.5" thickBot="1">
      <c r="B61" s="92" t="str">
        <f>Inputs!B83</f>
        <v>Other</v>
      </c>
      <c r="C61" s="74"/>
      <c r="D61" s="93"/>
      <c r="E61" s="292">
        <f t="shared" si="5"/>
        <v>0</v>
      </c>
      <c r="F61" s="93"/>
      <c r="G61" s="93"/>
      <c r="H61" s="227">
        <f>E61*Inputs!D83</f>
        <v>0</v>
      </c>
      <c r="I61" s="150">
        <f>IF(Inputs!$F$3=0,0,IF(H61="","",H61/((Inputs!$F$3-Inputs!$F$4)*2)))</f>
        <v>0</v>
      </c>
      <c r="J61" s="152">
        <f>IF(Inputs!$F$15=0,0,IF(B61="","",IF(H61="","",H61/Inputs!$F$15)))</f>
        <v>0</v>
      </c>
      <c r="K61" s="332"/>
      <c r="L61" s="332"/>
      <c r="M61" s="332"/>
      <c r="N61" s="332"/>
      <c r="O61" s="332"/>
      <c r="P61" s="332"/>
      <c r="Q61" s="332"/>
      <c r="R61" s="332"/>
      <c r="S61" s="332"/>
      <c r="U61" s="332"/>
      <c r="V61" s="205"/>
      <c r="W61" s="205"/>
      <c r="X61" s="205"/>
      <c r="Y61" s="205"/>
      <c r="Z61" s="205"/>
      <c r="AA61" s="205"/>
      <c r="AB61" s="205"/>
    </row>
    <row r="62" spans="2:28" ht="14.25" thickTop="1" thickBot="1">
      <c r="B62" s="120"/>
      <c r="C62" s="77"/>
      <c r="D62" s="97"/>
      <c r="E62" s="97"/>
      <c r="F62" s="107" t="s">
        <v>68</v>
      </c>
      <c r="G62" s="107"/>
      <c r="H62" s="228">
        <f>SUM(H56:H61)</f>
        <v>845</v>
      </c>
      <c r="I62" s="271">
        <f>SUM(I56:I61)</f>
        <v>3.25</v>
      </c>
      <c r="J62" s="272">
        <f>SUM(J56:J61)</f>
        <v>3.7555555555555555</v>
      </c>
      <c r="K62" s="332"/>
      <c r="L62" s="332"/>
      <c r="M62" s="332"/>
      <c r="N62" s="332"/>
      <c r="O62" s="332"/>
      <c r="P62" s="332"/>
      <c r="Q62" s="332"/>
      <c r="R62" s="332"/>
      <c r="S62" s="332"/>
      <c r="U62" s="332"/>
      <c r="V62" s="205"/>
      <c r="W62" s="205"/>
      <c r="X62" s="205"/>
      <c r="Y62" s="205"/>
      <c r="Z62" s="205"/>
      <c r="AA62" s="205"/>
      <c r="AB62" s="205"/>
    </row>
    <row r="63" spans="2:28" ht="16.5" thickBot="1">
      <c r="B63" s="121"/>
      <c r="C63" s="122"/>
      <c r="D63" s="122"/>
      <c r="E63" s="122"/>
      <c r="F63" s="122"/>
      <c r="G63" s="62" t="s">
        <v>57</v>
      </c>
      <c r="H63" s="268">
        <f>H53+H62</f>
        <v>2045</v>
      </c>
      <c r="I63" s="269">
        <f>I53+I62</f>
        <v>11.25</v>
      </c>
      <c r="J63" s="270">
        <f>J53+J62</f>
        <v>13.355555555555554</v>
      </c>
      <c r="K63" s="332"/>
      <c r="L63" s="332"/>
      <c r="M63" s="332"/>
      <c r="N63" s="332"/>
      <c r="O63" s="332"/>
      <c r="P63" s="332"/>
      <c r="Q63" s="332"/>
      <c r="R63" s="332"/>
      <c r="S63" s="332"/>
      <c r="U63" s="332"/>
      <c r="V63" s="205"/>
      <c r="W63" s="205"/>
      <c r="X63" s="205"/>
      <c r="Y63" s="205"/>
      <c r="Z63" s="205"/>
      <c r="AA63" s="205"/>
      <c r="AB63" s="205"/>
    </row>
    <row r="64" spans="2:28" ht="13.5" thickBot="1">
      <c r="B64" s="117"/>
      <c r="C64" s="65"/>
      <c r="D64" s="93"/>
      <c r="E64" s="65"/>
      <c r="F64" s="65"/>
      <c r="G64" s="65"/>
      <c r="H64" s="102"/>
      <c r="I64" s="65"/>
      <c r="J64" s="66"/>
      <c r="K64" s="332"/>
      <c r="L64" s="332"/>
      <c r="M64" s="332"/>
      <c r="N64" s="332"/>
      <c r="O64" s="332"/>
      <c r="P64" s="332"/>
      <c r="Q64" s="332"/>
      <c r="R64" s="332"/>
      <c r="S64" s="332"/>
      <c r="U64" s="332"/>
      <c r="V64" s="205"/>
      <c r="W64" s="205"/>
      <c r="X64" s="205"/>
      <c r="Y64" s="205"/>
      <c r="Z64" s="205"/>
      <c r="AA64" s="205"/>
      <c r="AB64" s="205"/>
    </row>
    <row r="65" spans="2:28" ht="16.5" thickBot="1">
      <c r="B65" s="121"/>
      <c r="C65" s="122"/>
      <c r="D65" s="122"/>
      <c r="E65" s="122"/>
      <c r="F65" s="122"/>
      <c r="G65" s="62" t="s">
        <v>58</v>
      </c>
      <c r="H65" s="186">
        <f>H10-H42-H63</f>
        <v>1340.8293750000012</v>
      </c>
      <c r="I65" s="160">
        <f>I10-I42-I63</f>
        <v>19.655529166666668</v>
      </c>
      <c r="J65" s="311">
        <f>J10-J42-J63</f>
        <v>7.0867416666666685</v>
      </c>
      <c r="K65" s="332"/>
      <c r="L65" s="332"/>
      <c r="M65" s="332"/>
      <c r="N65" s="332"/>
      <c r="O65" s="332"/>
      <c r="P65" s="332"/>
      <c r="Q65" s="332"/>
      <c r="R65" s="332"/>
      <c r="S65" s="332"/>
      <c r="U65" s="332"/>
      <c r="V65" s="205"/>
      <c r="W65" s="205"/>
      <c r="X65" s="205"/>
      <c r="Y65" s="205"/>
      <c r="Z65" s="205"/>
      <c r="AA65" s="205"/>
      <c r="AB65" s="205"/>
    </row>
    <row r="66" spans="2:28" s="312" customFormat="1">
      <c r="B66" s="334"/>
      <c r="C66" s="334"/>
      <c r="D66" s="334"/>
      <c r="E66" s="334"/>
      <c r="F66" s="334"/>
      <c r="G66" s="334"/>
      <c r="H66" s="332"/>
      <c r="I66" s="334"/>
      <c r="J66" s="332"/>
      <c r="K66" s="332"/>
      <c r="L66" s="332"/>
      <c r="M66" s="332"/>
      <c r="N66" s="332"/>
      <c r="O66" s="332"/>
      <c r="P66" s="332"/>
      <c r="Q66" s="332"/>
      <c r="R66" s="332"/>
      <c r="S66" s="332"/>
      <c r="T66" s="333"/>
      <c r="U66" s="332"/>
      <c r="V66" s="332"/>
      <c r="W66" s="332"/>
      <c r="X66" s="332"/>
      <c r="Y66" s="332"/>
      <c r="Z66" s="332"/>
      <c r="AA66" s="332"/>
      <c r="AB66" s="332"/>
    </row>
    <row r="67" spans="2:28" s="312" customFormat="1">
      <c r="B67" s="332" t="s">
        <v>12</v>
      </c>
      <c r="C67" s="332"/>
      <c r="D67" s="332"/>
      <c r="E67" s="332"/>
      <c r="F67" s="332"/>
      <c r="G67" s="332"/>
      <c r="H67" s="332"/>
      <c r="I67" s="332"/>
      <c r="J67" s="332"/>
      <c r="K67" s="332"/>
      <c r="L67" s="332"/>
      <c r="M67" s="332"/>
      <c r="N67" s="332"/>
      <c r="O67" s="332"/>
      <c r="P67" s="332"/>
      <c r="Q67" s="332"/>
      <c r="R67" s="332"/>
      <c r="S67" s="332"/>
      <c r="T67" s="333"/>
      <c r="U67" s="332"/>
      <c r="V67" s="332"/>
      <c r="W67" s="332"/>
      <c r="X67" s="332"/>
      <c r="Y67" s="332"/>
      <c r="Z67" s="332"/>
      <c r="AA67" s="332"/>
      <c r="AB67" s="332"/>
    </row>
    <row r="68" spans="2:28" s="312" customFormat="1">
      <c r="B68" s="332" t="s">
        <v>12</v>
      </c>
      <c r="C68" s="332"/>
      <c r="D68" s="332"/>
      <c r="E68" s="332"/>
      <c r="F68" s="332"/>
      <c r="G68" s="332"/>
      <c r="H68" s="332"/>
      <c r="I68" s="332"/>
      <c r="J68" s="332"/>
      <c r="K68" s="332"/>
      <c r="L68" s="332"/>
      <c r="M68" s="332"/>
      <c r="N68" s="332"/>
      <c r="O68" s="332"/>
      <c r="P68" s="332"/>
      <c r="Q68" s="332"/>
      <c r="R68" s="332"/>
      <c r="S68" s="332"/>
      <c r="T68" s="333"/>
      <c r="U68" s="332"/>
      <c r="V68" s="332"/>
      <c r="W68" s="332"/>
      <c r="X68" s="332"/>
      <c r="Y68" s="332"/>
      <c r="Z68" s="332"/>
      <c r="AA68" s="332"/>
      <c r="AB68" s="332"/>
    </row>
    <row r="69" spans="2:28" s="312" customFormat="1">
      <c r="B69" s="332" t="s">
        <v>12</v>
      </c>
      <c r="C69" s="332"/>
      <c r="D69" s="332"/>
      <c r="E69" s="332"/>
      <c r="F69" s="332"/>
      <c r="G69" s="332"/>
      <c r="H69" s="332"/>
      <c r="I69" s="332"/>
      <c r="J69" s="332"/>
      <c r="K69" s="332"/>
      <c r="L69" s="332"/>
      <c r="M69" s="332"/>
      <c r="N69" s="332"/>
      <c r="O69" s="332"/>
      <c r="P69" s="332"/>
      <c r="Q69" s="332"/>
      <c r="R69" s="332"/>
      <c r="S69" s="332"/>
      <c r="T69" s="333"/>
      <c r="U69" s="332"/>
      <c r="V69" s="332"/>
      <c r="W69" s="332"/>
      <c r="X69" s="332"/>
      <c r="Y69" s="332"/>
      <c r="Z69" s="332"/>
      <c r="AA69" s="332"/>
      <c r="AB69" s="332"/>
    </row>
    <row r="70" spans="2:28" s="312" customFormat="1">
      <c r="B70" s="332" t="s">
        <v>12</v>
      </c>
      <c r="C70" s="332"/>
      <c r="D70" s="332"/>
      <c r="E70" s="332"/>
      <c r="F70" s="332"/>
      <c r="G70" s="332"/>
      <c r="H70" s="332"/>
      <c r="I70" s="332"/>
      <c r="J70" s="332"/>
      <c r="K70" s="332"/>
      <c r="L70" s="332"/>
      <c r="M70" s="332"/>
      <c r="N70" s="332"/>
      <c r="O70" s="332"/>
      <c r="P70" s="332"/>
      <c r="Q70" s="332"/>
      <c r="R70" s="332"/>
      <c r="S70" s="332"/>
      <c r="T70" s="333"/>
      <c r="U70" s="332"/>
      <c r="V70" s="332"/>
      <c r="W70" s="332"/>
      <c r="X70" s="332"/>
      <c r="Y70" s="332"/>
      <c r="Z70" s="332"/>
      <c r="AA70" s="332"/>
      <c r="AB70" s="332"/>
    </row>
    <row r="71" spans="2:28" s="312" customFormat="1">
      <c r="B71" s="332"/>
      <c r="C71" s="332"/>
      <c r="D71" s="332"/>
      <c r="E71" s="332"/>
      <c r="F71" s="332"/>
      <c r="G71" s="332"/>
      <c r="H71" s="332"/>
      <c r="I71" s="332"/>
      <c r="J71" s="332"/>
      <c r="K71" s="332"/>
      <c r="L71" s="332"/>
      <c r="M71" s="332"/>
      <c r="N71" s="332"/>
      <c r="O71" s="332"/>
      <c r="P71" s="332"/>
      <c r="Q71" s="332"/>
      <c r="R71" s="332"/>
      <c r="S71" s="332"/>
      <c r="T71" s="333"/>
      <c r="U71" s="332"/>
      <c r="V71" s="332"/>
      <c r="W71" s="332"/>
      <c r="X71" s="332"/>
      <c r="Y71" s="332"/>
      <c r="Z71" s="332"/>
      <c r="AA71" s="332"/>
      <c r="AB71" s="332"/>
    </row>
    <row r="72" spans="2:28" s="312" customFormat="1">
      <c r="B72" s="332"/>
      <c r="C72" s="332"/>
      <c r="D72" s="332"/>
      <c r="E72" s="332"/>
      <c r="F72" s="332"/>
      <c r="G72" s="332"/>
      <c r="H72" s="332"/>
      <c r="I72" s="332"/>
      <c r="J72" s="332"/>
      <c r="K72" s="332"/>
      <c r="L72" s="332"/>
      <c r="M72" s="332"/>
      <c r="N72" s="332"/>
      <c r="O72" s="332"/>
      <c r="P72" s="332"/>
      <c r="Q72" s="332"/>
      <c r="R72" s="332"/>
      <c r="S72" s="332"/>
      <c r="T72" s="333"/>
      <c r="U72" s="332"/>
      <c r="V72" s="332"/>
      <c r="W72" s="332"/>
      <c r="X72" s="332"/>
      <c r="Y72" s="332"/>
      <c r="Z72" s="332"/>
      <c r="AA72" s="332"/>
      <c r="AB72" s="332"/>
    </row>
    <row r="73" spans="2:28" s="312" customFormat="1">
      <c r="B73" s="332"/>
      <c r="C73" s="332"/>
      <c r="D73" s="332"/>
      <c r="E73" s="332"/>
      <c r="F73" s="332"/>
      <c r="G73" s="332"/>
      <c r="H73" s="332"/>
      <c r="I73" s="332"/>
      <c r="J73" s="332"/>
      <c r="K73" s="332"/>
      <c r="L73" s="332"/>
      <c r="M73" s="332"/>
      <c r="N73" s="332"/>
      <c r="O73" s="332"/>
      <c r="P73" s="332"/>
      <c r="Q73" s="332"/>
      <c r="R73" s="332"/>
      <c r="S73" s="332"/>
      <c r="T73" s="333"/>
      <c r="U73" s="332"/>
      <c r="V73" s="332"/>
      <c r="W73" s="332"/>
      <c r="X73" s="332"/>
      <c r="Y73" s="332"/>
      <c r="Z73" s="332"/>
      <c r="AA73" s="332"/>
      <c r="AB73" s="332"/>
    </row>
    <row r="74" spans="2:28" s="312" customFormat="1">
      <c r="B74" s="332"/>
      <c r="C74" s="332"/>
      <c r="D74" s="332"/>
      <c r="E74" s="332"/>
      <c r="F74" s="332"/>
      <c r="G74" s="332"/>
      <c r="H74" s="332"/>
      <c r="I74" s="332"/>
      <c r="J74" s="332"/>
      <c r="K74" s="332"/>
      <c r="L74" s="332"/>
      <c r="M74" s="332"/>
      <c r="N74" s="332"/>
      <c r="O74" s="332"/>
      <c r="P74" s="332"/>
      <c r="Q74" s="332"/>
      <c r="R74" s="332"/>
      <c r="S74" s="332"/>
      <c r="T74" s="333"/>
      <c r="U74" s="332"/>
      <c r="V74" s="332"/>
      <c r="W74" s="332"/>
      <c r="X74" s="332"/>
      <c r="Y74" s="332"/>
      <c r="Z74" s="332"/>
      <c r="AA74" s="332"/>
      <c r="AB74" s="332"/>
    </row>
    <row r="75" spans="2:28" s="312" customFormat="1">
      <c r="B75" s="332"/>
      <c r="C75" s="332"/>
      <c r="D75" s="332"/>
      <c r="E75" s="332"/>
      <c r="F75" s="332"/>
      <c r="G75" s="332"/>
      <c r="H75" s="332"/>
      <c r="I75" s="332"/>
      <c r="J75" s="332"/>
      <c r="K75" s="332"/>
      <c r="L75" s="332"/>
      <c r="M75" s="332"/>
      <c r="N75" s="332"/>
      <c r="O75" s="332"/>
      <c r="P75" s="332"/>
      <c r="Q75" s="332"/>
      <c r="R75" s="332"/>
      <c r="S75" s="332"/>
      <c r="T75" s="333"/>
      <c r="U75" s="332"/>
      <c r="V75" s="332"/>
      <c r="W75" s="332"/>
      <c r="X75" s="332"/>
      <c r="Y75" s="332"/>
      <c r="Z75" s="332"/>
      <c r="AA75" s="332"/>
      <c r="AB75" s="332"/>
    </row>
    <row r="76" spans="2:28" s="312" customFormat="1">
      <c r="B76" s="332"/>
      <c r="C76" s="332"/>
      <c r="D76" s="332"/>
      <c r="E76" s="332"/>
      <c r="F76" s="332"/>
      <c r="G76" s="332"/>
      <c r="H76" s="332"/>
      <c r="I76" s="332"/>
      <c r="J76" s="332"/>
      <c r="K76" s="332"/>
      <c r="L76" s="332"/>
      <c r="M76" s="332"/>
      <c r="N76" s="332"/>
      <c r="O76" s="332"/>
      <c r="P76" s="332"/>
      <c r="Q76" s="332"/>
      <c r="R76" s="332"/>
      <c r="S76" s="332"/>
      <c r="T76" s="333"/>
      <c r="U76" s="332"/>
      <c r="V76" s="332"/>
      <c r="W76" s="332"/>
      <c r="X76" s="332"/>
      <c r="Y76" s="332"/>
      <c r="Z76" s="332"/>
      <c r="AA76" s="332"/>
      <c r="AB76" s="332"/>
    </row>
    <row r="77" spans="2:28" s="312" customFormat="1">
      <c r="B77" s="332"/>
      <c r="C77" s="332"/>
      <c r="D77" s="332"/>
      <c r="E77" s="332"/>
      <c r="F77" s="332"/>
      <c r="G77" s="332"/>
      <c r="H77" s="332"/>
      <c r="I77" s="332"/>
      <c r="J77" s="332"/>
      <c r="K77" s="332"/>
      <c r="L77" s="332"/>
      <c r="M77" s="332"/>
      <c r="N77" s="332"/>
      <c r="O77" s="332"/>
      <c r="P77" s="332"/>
      <c r="Q77" s="332"/>
      <c r="R77" s="332"/>
      <c r="S77" s="332"/>
      <c r="T77" s="333"/>
      <c r="U77" s="332"/>
      <c r="V77" s="332"/>
      <c r="W77" s="332"/>
      <c r="X77" s="332"/>
      <c r="Y77" s="332"/>
      <c r="Z77" s="332"/>
      <c r="AA77" s="332"/>
      <c r="AB77" s="332"/>
    </row>
    <row r="78" spans="2:28" s="312" customFormat="1">
      <c r="B78" s="332"/>
      <c r="C78" s="332"/>
      <c r="D78" s="332"/>
      <c r="E78" s="332"/>
      <c r="F78" s="332"/>
      <c r="G78" s="332"/>
      <c r="H78" s="332"/>
      <c r="I78" s="332"/>
      <c r="J78" s="332"/>
      <c r="K78" s="332"/>
      <c r="L78" s="332"/>
      <c r="M78" s="332"/>
      <c r="N78" s="332"/>
      <c r="O78" s="332"/>
      <c r="P78" s="332"/>
      <c r="Q78" s="332"/>
      <c r="R78" s="332"/>
      <c r="S78" s="332"/>
      <c r="T78" s="333"/>
      <c r="U78" s="332"/>
      <c r="V78" s="332"/>
      <c r="W78" s="332"/>
      <c r="X78" s="332"/>
      <c r="Y78" s="332"/>
      <c r="Z78" s="332"/>
      <c r="AA78" s="332"/>
      <c r="AB78" s="332"/>
    </row>
    <row r="79" spans="2:28" s="312" customFormat="1">
      <c r="B79" s="332"/>
      <c r="C79" s="332"/>
      <c r="D79" s="332"/>
      <c r="E79" s="332"/>
      <c r="F79" s="332"/>
      <c r="G79" s="332"/>
      <c r="H79" s="332"/>
      <c r="I79" s="332"/>
      <c r="J79" s="332"/>
      <c r="K79" s="332"/>
      <c r="L79" s="332"/>
      <c r="M79" s="332"/>
      <c r="N79" s="332"/>
      <c r="O79" s="332"/>
      <c r="P79" s="332"/>
      <c r="Q79" s="332"/>
      <c r="R79" s="332"/>
      <c r="S79" s="332"/>
      <c r="T79" s="333"/>
      <c r="U79" s="332"/>
      <c r="V79" s="332"/>
      <c r="W79" s="332"/>
      <c r="X79" s="332"/>
      <c r="Y79" s="332"/>
      <c r="Z79" s="332"/>
      <c r="AA79" s="332"/>
      <c r="AB79" s="332"/>
    </row>
    <row r="80" spans="2:28" s="312" customFormat="1">
      <c r="B80" s="332"/>
      <c r="C80" s="332"/>
      <c r="D80" s="332"/>
      <c r="E80" s="332"/>
      <c r="F80" s="332"/>
      <c r="G80" s="332"/>
      <c r="H80" s="332"/>
      <c r="I80" s="332"/>
      <c r="J80" s="332"/>
      <c r="K80" s="332"/>
      <c r="L80" s="332"/>
      <c r="M80" s="332"/>
      <c r="N80" s="332"/>
      <c r="O80" s="332"/>
      <c r="P80" s="332"/>
      <c r="Q80" s="332"/>
      <c r="R80" s="332"/>
      <c r="S80" s="332"/>
      <c r="T80" s="333"/>
      <c r="U80" s="332"/>
      <c r="V80" s="332"/>
      <c r="W80" s="332"/>
      <c r="X80" s="332"/>
      <c r="Y80" s="332"/>
      <c r="Z80" s="332"/>
      <c r="AA80" s="332"/>
      <c r="AB80" s="332"/>
    </row>
    <row r="81" spans="2:28" s="312" customFormat="1">
      <c r="B81" s="332"/>
      <c r="C81" s="332"/>
      <c r="D81" s="332"/>
      <c r="E81" s="332"/>
      <c r="F81" s="332"/>
      <c r="G81" s="332"/>
      <c r="H81" s="332"/>
      <c r="I81" s="332"/>
      <c r="J81" s="332"/>
      <c r="K81" s="332"/>
      <c r="L81" s="332"/>
      <c r="M81" s="332"/>
      <c r="N81" s="332"/>
      <c r="O81" s="332"/>
      <c r="P81" s="332"/>
      <c r="Q81" s="332"/>
      <c r="R81" s="332"/>
      <c r="S81" s="332"/>
      <c r="T81" s="333"/>
      <c r="U81" s="332"/>
      <c r="V81" s="332"/>
      <c r="W81" s="332"/>
      <c r="X81" s="332"/>
      <c r="Y81" s="332"/>
      <c r="Z81" s="332"/>
      <c r="AA81" s="332"/>
      <c r="AB81" s="332"/>
    </row>
    <row r="82" spans="2:28" s="312" customFormat="1">
      <c r="B82" s="332"/>
      <c r="C82" s="332"/>
      <c r="D82" s="332"/>
      <c r="E82" s="332"/>
      <c r="F82" s="332"/>
      <c r="G82" s="332"/>
      <c r="H82" s="332"/>
      <c r="I82" s="332"/>
      <c r="J82" s="332"/>
      <c r="K82" s="332"/>
      <c r="L82" s="332"/>
      <c r="M82" s="332"/>
      <c r="N82" s="332"/>
      <c r="O82" s="332"/>
      <c r="P82" s="332"/>
      <c r="Q82" s="332"/>
      <c r="R82" s="332"/>
      <c r="S82" s="332"/>
      <c r="T82" s="333"/>
      <c r="U82" s="332"/>
      <c r="V82" s="332"/>
      <c r="W82" s="332"/>
      <c r="X82" s="332"/>
      <c r="Y82" s="332"/>
      <c r="Z82" s="332"/>
      <c r="AA82" s="332"/>
      <c r="AB82" s="332"/>
    </row>
    <row r="83" spans="2:28" s="312" customFormat="1">
      <c r="B83" s="332"/>
      <c r="C83" s="332"/>
      <c r="D83" s="332"/>
      <c r="E83" s="332"/>
      <c r="F83" s="332"/>
      <c r="G83" s="332"/>
      <c r="H83" s="332"/>
      <c r="I83" s="332"/>
      <c r="J83" s="332"/>
      <c r="K83" s="332"/>
      <c r="L83" s="332"/>
      <c r="M83" s="332"/>
      <c r="N83" s="332"/>
      <c r="O83" s="332"/>
      <c r="P83" s="332"/>
      <c r="Q83" s="332"/>
      <c r="R83" s="332"/>
      <c r="S83" s="332"/>
      <c r="T83" s="333"/>
      <c r="U83" s="332"/>
      <c r="V83" s="332"/>
      <c r="W83" s="332"/>
      <c r="X83" s="332"/>
      <c r="Y83" s="332"/>
      <c r="Z83" s="332"/>
      <c r="AA83" s="332"/>
      <c r="AB83" s="332"/>
    </row>
    <row r="84" spans="2:28" s="312" customFormat="1">
      <c r="B84" s="332"/>
      <c r="C84" s="332"/>
      <c r="D84" s="332"/>
      <c r="E84" s="332"/>
      <c r="F84" s="332"/>
      <c r="G84" s="332"/>
      <c r="H84" s="332"/>
      <c r="I84" s="332"/>
      <c r="J84" s="332"/>
      <c r="K84" s="332"/>
      <c r="L84" s="332"/>
      <c r="M84" s="332"/>
      <c r="N84" s="332"/>
      <c r="O84" s="332"/>
      <c r="P84" s="332"/>
      <c r="Q84" s="332"/>
      <c r="R84" s="332"/>
      <c r="S84" s="332"/>
      <c r="T84" s="333"/>
      <c r="U84" s="332"/>
      <c r="V84" s="332"/>
      <c r="W84" s="332"/>
      <c r="X84" s="332"/>
      <c r="Y84" s="332"/>
      <c r="Z84" s="332"/>
      <c r="AA84" s="332"/>
      <c r="AB84" s="332"/>
    </row>
    <row r="85" spans="2:28" s="312" customFormat="1">
      <c r="B85" s="332"/>
      <c r="C85" s="332"/>
      <c r="D85" s="332"/>
      <c r="E85" s="332"/>
      <c r="F85" s="332"/>
      <c r="G85" s="332"/>
      <c r="H85" s="332"/>
      <c r="I85" s="332"/>
      <c r="J85" s="332"/>
      <c r="K85" s="332"/>
      <c r="L85" s="332"/>
      <c r="M85" s="332"/>
      <c r="N85" s="332"/>
      <c r="O85" s="332"/>
      <c r="P85" s="332"/>
      <c r="Q85" s="332"/>
      <c r="R85" s="332"/>
      <c r="S85" s="332"/>
      <c r="T85" s="333"/>
      <c r="U85" s="332"/>
      <c r="V85" s="332"/>
      <c r="W85" s="332"/>
      <c r="X85" s="332"/>
      <c r="Y85" s="332"/>
      <c r="Z85" s="332"/>
      <c r="AA85" s="332"/>
      <c r="AB85" s="332"/>
    </row>
    <row r="86" spans="2:28" s="312" customFormat="1">
      <c r="B86" s="332"/>
      <c r="C86" s="332"/>
      <c r="D86" s="332"/>
      <c r="E86" s="332"/>
      <c r="F86" s="332"/>
      <c r="G86" s="332"/>
      <c r="H86" s="332"/>
      <c r="I86" s="332"/>
      <c r="J86" s="332"/>
      <c r="K86" s="332"/>
      <c r="L86" s="332"/>
      <c r="M86" s="332"/>
      <c r="N86" s="332"/>
      <c r="O86" s="332"/>
      <c r="P86" s="332"/>
      <c r="Q86" s="332"/>
      <c r="R86" s="332"/>
      <c r="S86" s="332"/>
      <c r="T86" s="333"/>
      <c r="U86" s="332"/>
      <c r="V86" s="332"/>
      <c r="W86" s="332"/>
      <c r="X86" s="332"/>
      <c r="Y86" s="332"/>
      <c r="Z86" s="332"/>
      <c r="AA86" s="332"/>
      <c r="AB86" s="332"/>
    </row>
    <row r="87" spans="2:28" s="312" customFormat="1">
      <c r="B87" s="332"/>
      <c r="C87" s="332"/>
      <c r="D87" s="332"/>
      <c r="E87" s="332"/>
      <c r="F87" s="332"/>
      <c r="G87" s="332"/>
      <c r="H87" s="332"/>
      <c r="I87" s="332"/>
      <c r="J87" s="332"/>
      <c r="K87" s="332"/>
      <c r="L87" s="332"/>
      <c r="M87" s="332"/>
      <c r="N87" s="332"/>
      <c r="O87" s="332"/>
      <c r="P87" s="332"/>
      <c r="Q87" s="332"/>
      <c r="R87" s="332"/>
      <c r="S87" s="332"/>
      <c r="T87" s="333"/>
      <c r="U87" s="332"/>
      <c r="V87" s="332"/>
      <c r="W87" s="332"/>
      <c r="X87" s="332"/>
      <c r="Y87" s="332"/>
      <c r="Z87" s="332"/>
      <c r="AA87" s="332"/>
      <c r="AB87" s="332"/>
    </row>
    <row r="88" spans="2:28" s="312" customFormat="1">
      <c r="B88" s="332"/>
      <c r="C88" s="332"/>
      <c r="D88" s="332"/>
      <c r="E88" s="332"/>
      <c r="F88" s="332"/>
      <c r="G88" s="332"/>
      <c r="H88" s="332"/>
      <c r="I88" s="332"/>
      <c r="J88" s="332"/>
      <c r="K88" s="332"/>
      <c r="L88" s="332"/>
      <c r="M88" s="332"/>
      <c r="N88" s="332"/>
      <c r="O88" s="332"/>
      <c r="P88" s="332"/>
      <c r="Q88" s="332"/>
      <c r="R88" s="332"/>
      <c r="S88" s="332"/>
      <c r="T88" s="333"/>
      <c r="U88" s="332"/>
      <c r="V88" s="332"/>
      <c r="W88" s="332"/>
      <c r="X88" s="332"/>
      <c r="Y88" s="332"/>
      <c r="Z88" s="332"/>
      <c r="AA88" s="332"/>
      <c r="AB88" s="332"/>
    </row>
    <row r="89" spans="2:28" s="312" customFormat="1">
      <c r="B89" s="332"/>
      <c r="C89" s="332"/>
      <c r="D89" s="332"/>
      <c r="E89" s="332"/>
      <c r="F89" s="332"/>
      <c r="G89" s="332"/>
      <c r="H89" s="332"/>
      <c r="I89" s="332"/>
      <c r="J89" s="332"/>
      <c r="K89" s="332"/>
      <c r="L89" s="332"/>
      <c r="M89" s="332"/>
      <c r="N89" s="332"/>
      <c r="O89" s="332"/>
      <c r="P89" s="332"/>
      <c r="Q89" s="332"/>
      <c r="R89" s="332"/>
      <c r="S89" s="332"/>
      <c r="T89" s="333"/>
      <c r="U89" s="332"/>
      <c r="V89" s="332"/>
      <c r="W89" s="332"/>
      <c r="X89" s="332"/>
      <c r="Y89" s="332"/>
      <c r="Z89" s="332"/>
      <c r="AA89" s="332"/>
      <c r="AB89" s="332"/>
    </row>
    <row r="90" spans="2:28" s="312" customFormat="1">
      <c r="B90" s="332"/>
      <c r="C90" s="332"/>
      <c r="D90" s="332"/>
      <c r="E90" s="332"/>
      <c r="F90" s="332"/>
      <c r="G90" s="332"/>
      <c r="H90" s="332"/>
      <c r="I90" s="332"/>
      <c r="J90" s="332"/>
      <c r="K90" s="332"/>
      <c r="L90" s="332"/>
      <c r="M90" s="332"/>
      <c r="N90" s="332"/>
      <c r="O90" s="332"/>
      <c r="P90" s="332"/>
      <c r="Q90" s="332"/>
      <c r="R90" s="332"/>
      <c r="S90" s="332"/>
      <c r="T90" s="333"/>
      <c r="U90" s="332"/>
      <c r="V90" s="332"/>
      <c r="W90" s="332"/>
      <c r="X90" s="332"/>
      <c r="Y90" s="332"/>
      <c r="Z90" s="332"/>
      <c r="AA90" s="332"/>
      <c r="AB90" s="332"/>
    </row>
    <row r="91" spans="2:28" s="312" customFormat="1">
      <c r="B91" s="332"/>
      <c r="C91" s="332"/>
      <c r="D91" s="332"/>
      <c r="E91" s="332"/>
      <c r="F91" s="332"/>
      <c r="G91" s="332"/>
      <c r="H91" s="332"/>
      <c r="I91" s="332"/>
      <c r="J91" s="332"/>
      <c r="K91" s="332"/>
      <c r="L91" s="332"/>
      <c r="M91" s="332"/>
      <c r="N91" s="332"/>
      <c r="O91" s="332"/>
      <c r="P91" s="332"/>
      <c r="Q91" s="332"/>
      <c r="R91" s="332"/>
      <c r="S91" s="332"/>
      <c r="T91" s="333"/>
      <c r="U91" s="332"/>
      <c r="V91" s="332"/>
      <c r="W91" s="332"/>
      <c r="X91" s="332"/>
      <c r="Y91" s="332"/>
      <c r="Z91" s="332"/>
      <c r="AA91" s="332"/>
      <c r="AB91" s="332"/>
    </row>
    <row r="92" spans="2:28" s="312" customFormat="1">
      <c r="B92" s="332"/>
      <c r="C92" s="332"/>
      <c r="D92" s="332"/>
      <c r="E92" s="332"/>
      <c r="F92" s="332"/>
      <c r="G92" s="332"/>
      <c r="H92" s="332"/>
      <c r="I92" s="332"/>
      <c r="J92" s="332"/>
      <c r="K92" s="332"/>
      <c r="L92" s="332"/>
      <c r="M92" s="332"/>
      <c r="N92" s="332"/>
      <c r="O92" s="332"/>
      <c r="P92" s="332"/>
      <c r="Q92" s="332"/>
      <c r="R92" s="332"/>
      <c r="S92" s="332"/>
      <c r="T92" s="333"/>
      <c r="U92" s="332"/>
      <c r="V92" s="332"/>
      <c r="W92" s="332"/>
      <c r="X92" s="332"/>
      <c r="Y92" s="332"/>
      <c r="Z92" s="332"/>
      <c r="AA92" s="332"/>
      <c r="AB92" s="332"/>
    </row>
    <row r="93" spans="2:28" s="312" customFormat="1">
      <c r="B93" s="332"/>
      <c r="C93" s="332"/>
      <c r="D93" s="332"/>
      <c r="E93" s="332"/>
      <c r="F93" s="332"/>
      <c r="G93" s="332"/>
      <c r="H93" s="332"/>
      <c r="I93" s="332"/>
      <c r="J93" s="332"/>
      <c r="K93" s="332"/>
      <c r="L93" s="332"/>
      <c r="M93" s="332"/>
      <c r="N93" s="332"/>
      <c r="O93" s="332"/>
      <c r="P93" s="332"/>
      <c r="Q93" s="332"/>
      <c r="R93" s="332"/>
      <c r="S93" s="332"/>
      <c r="T93" s="333"/>
      <c r="U93" s="332"/>
      <c r="V93" s="332"/>
      <c r="W93" s="332"/>
      <c r="X93" s="332"/>
      <c r="Y93" s="332"/>
      <c r="Z93" s="332"/>
      <c r="AA93" s="332"/>
      <c r="AB93" s="332"/>
    </row>
    <row r="94" spans="2:28" s="312" customFormat="1">
      <c r="B94" s="332"/>
      <c r="C94" s="332"/>
      <c r="D94" s="332"/>
      <c r="E94" s="332"/>
      <c r="F94" s="332"/>
      <c r="G94" s="332"/>
      <c r="H94" s="332"/>
      <c r="I94" s="332"/>
      <c r="J94" s="332"/>
      <c r="K94" s="332"/>
      <c r="L94" s="332"/>
      <c r="M94" s="332"/>
      <c r="N94" s="332"/>
      <c r="O94" s="332"/>
      <c r="P94" s="332"/>
      <c r="Q94" s="332"/>
      <c r="R94" s="332"/>
      <c r="S94" s="332"/>
      <c r="T94" s="333"/>
      <c r="U94" s="332"/>
      <c r="V94" s="332"/>
      <c r="W94" s="332"/>
      <c r="X94" s="332"/>
      <c r="Y94" s="332"/>
      <c r="Z94" s="332"/>
      <c r="AA94" s="332"/>
      <c r="AB94" s="332"/>
    </row>
    <row r="95" spans="2:28" s="312" customFormat="1">
      <c r="B95" s="332"/>
      <c r="C95" s="332"/>
      <c r="D95" s="332"/>
      <c r="E95" s="332"/>
      <c r="F95" s="332"/>
      <c r="G95" s="332"/>
      <c r="H95" s="332"/>
      <c r="I95" s="332"/>
      <c r="J95" s="332"/>
      <c r="K95" s="332"/>
      <c r="L95" s="332"/>
      <c r="M95" s="332"/>
      <c r="N95" s="332"/>
      <c r="O95" s="332"/>
      <c r="P95" s="332"/>
      <c r="Q95" s="332"/>
      <c r="R95" s="332"/>
      <c r="S95" s="332"/>
      <c r="T95" s="333"/>
      <c r="U95" s="332"/>
      <c r="V95" s="332"/>
      <c r="W95" s="332"/>
      <c r="X95" s="332"/>
      <c r="Y95" s="332"/>
      <c r="Z95" s="332"/>
      <c r="AA95" s="332"/>
      <c r="AB95" s="332"/>
    </row>
    <row r="96" spans="2:28" s="312" customFormat="1">
      <c r="B96" s="332"/>
      <c r="C96" s="332"/>
      <c r="D96" s="332"/>
      <c r="E96" s="332"/>
      <c r="F96" s="332"/>
      <c r="G96" s="332"/>
      <c r="H96" s="332"/>
      <c r="I96" s="332"/>
      <c r="J96" s="332"/>
      <c r="K96" s="332"/>
      <c r="L96" s="332"/>
      <c r="M96" s="332"/>
      <c r="N96" s="332"/>
      <c r="O96" s="332"/>
      <c r="P96" s="332"/>
      <c r="Q96" s="332"/>
      <c r="R96" s="332"/>
      <c r="S96" s="332"/>
      <c r="T96" s="333"/>
      <c r="U96" s="332"/>
      <c r="V96" s="332"/>
      <c r="W96" s="332"/>
      <c r="X96" s="332"/>
      <c r="Y96" s="332"/>
      <c r="Z96" s="332"/>
      <c r="AA96" s="332"/>
      <c r="AB96" s="332"/>
    </row>
    <row r="97" spans="2:28" s="312" customFormat="1">
      <c r="B97" s="332"/>
      <c r="C97" s="332"/>
      <c r="D97" s="332"/>
      <c r="E97" s="332"/>
      <c r="F97" s="332"/>
      <c r="G97" s="332"/>
      <c r="H97" s="332"/>
      <c r="I97" s="332"/>
      <c r="J97" s="332"/>
      <c r="K97" s="332"/>
      <c r="L97" s="332"/>
      <c r="M97" s="332"/>
      <c r="N97" s="332"/>
      <c r="O97" s="332"/>
      <c r="P97" s="332"/>
      <c r="Q97" s="332"/>
      <c r="R97" s="332"/>
      <c r="S97" s="332"/>
      <c r="T97" s="333"/>
      <c r="U97" s="332"/>
      <c r="V97" s="332"/>
      <c r="W97" s="332"/>
      <c r="X97" s="332"/>
      <c r="Y97" s="332"/>
      <c r="Z97" s="332"/>
      <c r="AA97" s="332"/>
      <c r="AB97" s="332"/>
    </row>
    <row r="98" spans="2:28" s="312" customFormat="1">
      <c r="B98" s="332"/>
      <c r="C98" s="332"/>
      <c r="D98" s="332"/>
      <c r="E98" s="332"/>
      <c r="F98" s="332"/>
      <c r="G98" s="332"/>
      <c r="H98" s="332"/>
      <c r="I98" s="332"/>
      <c r="J98" s="332"/>
      <c r="K98" s="332"/>
      <c r="L98" s="332"/>
      <c r="M98" s="332"/>
      <c r="N98" s="332"/>
      <c r="O98" s="332"/>
      <c r="P98" s="332"/>
      <c r="Q98" s="332"/>
      <c r="R98" s="332"/>
      <c r="S98" s="332"/>
      <c r="T98" s="333"/>
      <c r="U98" s="332"/>
      <c r="V98" s="332"/>
      <c r="W98" s="332"/>
      <c r="X98" s="332"/>
      <c r="Y98" s="332"/>
      <c r="Z98" s="332"/>
      <c r="AA98" s="332"/>
      <c r="AB98" s="332"/>
    </row>
    <row r="99" spans="2:28">
      <c r="B99" s="205"/>
      <c r="C99" s="205"/>
      <c r="D99" s="205"/>
      <c r="E99" s="205"/>
      <c r="F99" s="205"/>
      <c r="G99" s="205"/>
      <c r="H99" s="205"/>
      <c r="I99" s="205"/>
      <c r="J99" s="205"/>
      <c r="K99" s="332"/>
      <c r="L99" s="332"/>
      <c r="M99" s="332"/>
      <c r="N99" s="332"/>
      <c r="O99" s="332"/>
      <c r="P99" s="332"/>
      <c r="Q99" s="332"/>
      <c r="R99" s="332"/>
      <c r="S99" s="332"/>
      <c r="U99" s="332"/>
      <c r="V99" s="205"/>
      <c r="W99" s="205"/>
      <c r="X99" s="205"/>
      <c r="Y99" s="205"/>
      <c r="Z99" s="205"/>
      <c r="AA99" s="205"/>
      <c r="AB99" s="205"/>
    </row>
    <row r="100" spans="2:28">
      <c r="B100" s="205"/>
      <c r="C100" s="205"/>
      <c r="D100" s="205"/>
      <c r="E100" s="205"/>
      <c r="F100" s="205"/>
      <c r="G100" s="205"/>
      <c r="H100" s="205"/>
      <c r="I100" s="205"/>
      <c r="J100" s="205"/>
      <c r="K100" s="332"/>
      <c r="L100" s="332"/>
      <c r="M100" s="332"/>
      <c r="N100" s="332"/>
      <c r="O100" s="332"/>
      <c r="P100" s="332"/>
      <c r="Q100" s="332"/>
      <c r="R100" s="332"/>
      <c r="S100" s="332"/>
      <c r="U100" s="332"/>
      <c r="V100" s="205"/>
      <c r="W100" s="205"/>
      <c r="X100" s="205"/>
      <c r="Y100" s="205"/>
      <c r="Z100" s="205"/>
      <c r="AA100" s="205"/>
      <c r="AB100" s="205"/>
    </row>
  </sheetData>
  <sheetProtection sheet="1"/>
  <mergeCells count="12">
    <mergeCell ref="C26:G26"/>
    <mergeCell ref="M17:O17"/>
    <mergeCell ref="C17:C18"/>
    <mergeCell ref="E17:E18"/>
    <mergeCell ref="F19:G19"/>
    <mergeCell ref="F18:G18"/>
    <mergeCell ref="F25:G25"/>
    <mergeCell ref="F20:G20"/>
    <mergeCell ref="F21:G21"/>
    <mergeCell ref="F22:G22"/>
    <mergeCell ref="F23:G23"/>
    <mergeCell ref="F24:G24"/>
  </mergeCells>
  <dataValidations count="5">
    <dataValidation type="list" allowBlank="1" showInputMessage="1" showErrorMessage="1" sqref="B35:B39">
      <formula1>$T$36:$T$43</formula1>
    </dataValidation>
    <dataValidation type="list" allowBlank="1" showInputMessage="1" showErrorMessage="1" sqref="B48:B52">
      <formula1>$T$46:$T$50</formula1>
    </dataValidation>
    <dataValidation type="list" allowBlank="1" showInputMessage="1" showErrorMessage="1" sqref="B19:B25">
      <formula1>$T$19:$T$29</formula1>
    </dataValidation>
    <dataValidation type="list" allowBlank="1" showInputMessage="1" showErrorMessage="1" sqref="E19:E25">
      <formula1>$L$19:$L$21</formula1>
    </dataValidation>
    <dataValidation type="list" allowBlank="1" showInputMessage="1" showErrorMessage="1" sqref="L18">
      <formula1>$M$18:$M$19</formula1>
    </dataValidation>
  </dataValidations>
  <pageMargins left="1" right="1" top="1" bottom="1" header="0.3" footer="0.3"/>
  <pageSetup scale="71" orientation="portrait" r:id="rId1"/>
  <drawing r:id="rId2"/>
</worksheet>
</file>

<file path=xl/worksheets/sheet4.xml><?xml version="1.0" encoding="utf-8"?>
<worksheet xmlns="http://schemas.openxmlformats.org/spreadsheetml/2006/main" xmlns:r="http://schemas.openxmlformats.org/officeDocument/2006/relationships">
  <dimension ref="A1:Z71"/>
  <sheetViews>
    <sheetView workbookViewId="0"/>
  </sheetViews>
  <sheetFormatPr defaultRowHeight="12.75"/>
  <cols>
    <col min="1" max="1" width="43.42578125" style="312" customWidth="1"/>
    <col min="2" max="2" width="26.7109375" style="116" customWidth="1"/>
    <col min="3" max="3" width="10.5703125" style="84" customWidth="1"/>
    <col min="4" max="4" width="7.42578125" style="84" customWidth="1"/>
    <col min="5" max="5" width="11.42578125" style="84" customWidth="1"/>
    <col min="6" max="6" width="10.5703125" style="84" customWidth="1"/>
    <col min="7" max="7" width="9.140625" style="84"/>
    <col min="8" max="8" width="10.28515625" style="84" customWidth="1"/>
    <col min="9" max="9" width="4.42578125" style="312" customWidth="1"/>
    <col min="10" max="10" width="21.42578125" style="312" customWidth="1"/>
    <col min="11" max="13" width="10.5703125" style="312" customWidth="1"/>
    <col min="14" max="16" width="9.140625" style="312"/>
    <col min="17" max="17" width="9.140625" style="84"/>
    <col min="18" max="18" width="9.140625" style="234"/>
    <col min="19" max="16384" width="9.140625" style="84"/>
  </cols>
  <sheetData>
    <row r="1" spans="1:26" ht="18.75" thickBot="1">
      <c r="B1" s="118" t="s">
        <v>143</v>
      </c>
      <c r="C1" s="196" t="str">
        <f>CONCATENATE("(",Inputs!F10," rams)")</f>
        <v>(2 rams)</v>
      </c>
      <c r="D1" s="196"/>
      <c r="E1" s="196"/>
      <c r="F1" s="196"/>
      <c r="G1" s="196"/>
      <c r="H1" s="196"/>
      <c r="I1" s="332"/>
      <c r="J1" s="332"/>
      <c r="K1" s="332"/>
      <c r="L1" s="332"/>
      <c r="M1" s="332"/>
      <c r="N1" s="332"/>
      <c r="O1" s="332"/>
      <c r="P1" s="332"/>
      <c r="Q1" s="205"/>
      <c r="R1" s="232"/>
      <c r="S1" s="205"/>
      <c r="T1" s="205"/>
      <c r="U1" s="205"/>
      <c r="V1" s="205"/>
      <c r="W1" s="205"/>
      <c r="X1" s="205"/>
      <c r="Y1" s="205"/>
      <c r="Z1" s="205"/>
    </row>
    <row r="2" spans="1:26" ht="27" thickBot="1">
      <c r="B2" s="78" t="s">
        <v>39</v>
      </c>
      <c r="C2" s="221"/>
      <c r="D2" s="222"/>
      <c r="E2" s="222"/>
      <c r="F2" s="222"/>
      <c r="G2" s="222"/>
      <c r="H2" s="239" t="s">
        <v>137</v>
      </c>
      <c r="I2" s="332"/>
      <c r="J2" s="332"/>
      <c r="K2" s="332"/>
      <c r="L2" s="332"/>
      <c r="M2" s="332"/>
      <c r="N2" s="332"/>
      <c r="O2" s="332"/>
      <c r="P2" s="332"/>
      <c r="Q2" s="205"/>
      <c r="R2" s="232"/>
      <c r="S2" s="205"/>
      <c r="T2" s="205"/>
      <c r="U2" s="205"/>
      <c r="V2" s="205"/>
      <c r="W2" s="205"/>
      <c r="X2" s="205"/>
      <c r="Y2" s="205"/>
      <c r="Z2" s="205"/>
    </row>
    <row r="3" spans="1:26">
      <c r="B3" s="126"/>
      <c r="C3" s="79" t="s">
        <v>75</v>
      </c>
      <c r="D3" s="82"/>
      <c r="E3" s="124" t="s">
        <v>6</v>
      </c>
      <c r="F3" s="89"/>
      <c r="G3" s="93"/>
      <c r="H3" s="157" t="s">
        <v>41</v>
      </c>
      <c r="I3" s="332"/>
      <c r="J3" s="332"/>
      <c r="K3" s="332"/>
      <c r="L3" s="332"/>
      <c r="M3" s="332"/>
      <c r="N3" s="332"/>
      <c r="O3" s="332"/>
      <c r="P3" s="332"/>
      <c r="Q3" s="205"/>
      <c r="R3" s="232"/>
      <c r="S3" s="205"/>
      <c r="T3" s="205"/>
      <c r="U3" s="205"/>
      <c r="V3" s="205"/>
      <c r="W3" s="205"/>
      <c r="X3" s="205"/>
      <c r="Y3" s="205"/>
      <c r="Z3" s="205"/>
    </row>
    <row r="4" spans="1:26">
      <c r="B4" s="92"/>
      <c r="C4" s="74"/>
      <c r="D4" s="93"/>
      <c r="E4" s="93"/>
      <c r="F4" s="93"/>
      <c r="G4" s="93"/>
      <c r="H4" s="241"/>
      <c r="I4" s="332"/>
      <c r="J4" s="332"/>
      <c r="K4" s="332"/>
      <c r="L4" s="332"/>
      <c r="M4" s="332"/>
      <c r="N4" s="332"/>
      <c r="O4" s="332"/>
      <c r="P4" s="332"/>
      <c r="Q4" s="205"/>
      <c r="R4" s="232"/>
      <c r="S4" s="205"/>
      <c r="T4" s="205"/>
      <c r="U4" s="205"/>
      <c r="V4" s="205"/>
      <c r="W4" s="205"/>
      <c r="X4" s="205"/>
      <c r="Y4" s="205"/>
      <c r="Z4" s="205"/>
    </row>
    <row r="5" spans="1:26">
      <c r="B5" s="70" t="s">
        <v>110</v>
      </c>
      <c r="C5" s="237">
        <f>IF(Inputs!F12=0,0,Inputs!F10/Inputs!F12)</f>
        <v>0.4</v>
      </c>
      <c r="D5" s="93" t="s">
        <v>144</v>
      </c>
      <c r="E5" s="95">
        <f>Inputs!F14</f>
        <v>60</v>
      </c>
      <c r="F5" s="93"/>
      <c r="G5" s="93" t="s">
        <v>4</v>
      </c>
      <c r="H5" s="241">
        <f>C5*E5</f>
        <v>24</v>
      </c>
      <c r="I5" s="332"/>
      <c r="J5" s="332"/>
      <c r="K5" s="332"/>
      <c r="L5" s="332"/>
      <c r="M5" s="332"/>
      <c r="N5" s="332"/>
      <c r="O5" s="332"/>
      <c r="P5" s="332"/>
      <c r="Q5" s="205"/>
      <c r="R5" s="232"/>
      <c r="S5" s="205"/>
      <c r="T5" s="205"/>
      <c r="U5" s="205"/>
      <c r="V5" s="205"/>
      <c r="W5" s="205"/>
      <c r="X5" s="205"/>
      <c r="Y5" s="205"/>
      <c r="Z5" s="205"/>
    </row>
    <row r="6" spans="1:26" ht="13.5" thickBot="1">
      <c r="B6" s="92"/>
      <c r="C6" s="74"/>
      <c r="D6" s="93"/>
      <c r="E6" s="93"/>
      <c r="F6" s="123"/>
      <c r="G6" s="93"/>
      <c r="H6" s="241"/>
      <c r="I6" s="332"/>
      <c r="J6" s="334"/>
      <c r="K6" s="332"/>
      <c r="L6" s="332"/>
      <c r="M6" s="332"/>
      <c r="N6" s="332"/>
      <c r="O6" s="332"/>
      <c r="P6" s="332"/>
      <c r="Q6" s="205"/>
      <c r="R6" s="232"/>
      <c r="S6" s="205"/>
      <c r="T6" s="205"/>
      <c r="U6" s="205"/>
      <c r="V6" s="205"/>
      <c r="W6" s="205"/>
      <c r="X6" s="205"/>
      <c r="Y6" s="205"/>
      <c r="Z6" s="205"/>
    </row>
    <row r="7" spans="1:26" ht="16.5" thickBot="1">
      <c r="B7" s="121"/>
      <c r="C7" s="86"/>
      <c r="D7" s="86"/>
      <c r="E7" s="81"/>
      <c r="F7" s="115"/>
      <c r="G7" s="62" t="s">
        <v>43</v>
      </c>
      <c r="H7" s="247">
        <f>SUM(H4:H6)</f>
        <v>24</v>
      </c>
      <c r="I7" s="332"/>
      <c r="J7" s="332"/>
      <c r="K7" s="332"/>
      <c r="L7" s="332"/>
      <c r="M7" s="332"/>
      <c r="N7" s="332"/>
      <c r="O7" s="332"/>
      <c r="P7" s="332"/>
      <c r="Q7" s="205"/>
      <c r="R7" s="232"/>
      <c r="S7" s="205"/>
      <c r="T7" s="205"/>
      <c r="U7" s="205"/>
      <c r="V7" s="205"/>
      <c r="W7" s="205"/>
      <c r="X7" s="205"/>
      <c r="Y7" s="205"/>
      <c r="Z7" s="205"/>
    </row>
    <row r="8" spans="1:26" ht="13.5" thickBot="1">
      <c r="B8" s="119"/>
      <c r="C8" s="87"/>
      <c r="D8" s="87"/>
      <c r="E8" s="87"/>
      <c r="F8" s="87"/>
      <c r="G8" s="87"/>
      <c r="H8" s="225"/>
      <c r="I8" s="332"/>
      <c r="J8" s="332"/>
      <c r="K8" s="332"/>
      <c r="L8" s="332"/>
      <c r="M8" s="332"/>
      <c r="N8" s="332"/>
      <c r="O8" s="332"/>
      <c r="P8" s="332"/>
      <c r="Q8" s="205"/>
      <c r="R8" s="232"/>
      <c r="S8" s="205"/>
      <c r="T8" s="205"/>
      <c r="U8" s="205"/>
      <c r="V8" s="205"/>
      <c r="W8" s="205"/>
      <c r="X8" s="205"/>
      <c r="Y8" s="205"/>
      <c r="Z8" s="205"/>
    </row>
    <row r="9" spans="1:26" ht="27" thickBot="1">
      <c r="B9" s="121" t="s">
        <v>44</v>
      </c>
      <c r="C9" s="221"/>
      <c r="D9" s="222"/>
      <c r="E9" s="222"/>
      <c r="F9" s="222"/>
      <c r="G9" s="222"/>
      <c r="H9" s="239" t="s">
        <v>137</v>
      </c>
      <c r="I9" s="332"/>
      <c r="J9" s="332"/>
      <c r="K9" s="332"/>
      <c r="L9" s="332"/>
      <c r="M9" s="332"/>
      <c r="N9" s="332"/>
      <c r="O9" s="332"/>
      <c r="P9" s="332"/>
      <c r="Q9" s="205"/>
      <c r="R9" s="232"/>
      <c r="S9" s="205"/>
      <c r="T9" s="205"/>
      <c r="U9" s="205"/>
      <c r="V9" s="205"/>
      <c r="W9" s="205"/>
      <c r="X9" s="205"/>
      <c r="Y9" s="205"/>
      <c r="Z9" s="205"/>
    </row>
    <row r="10" spans="1:26">
      <c r="B10" s="133" t="s">
        <v>130</v>
      </c>
      <c r="C10" s="79" t="s">
        <v>59</v>
      </c>
      <c r="D10" s="124"/>
      <c r="E10" s="124" t="s">
        <v>6</v>
      </c>
      <c r="F10" s="89"/>
      <c r="G10" s="89"/>
      <c r="H10" s="240" t="s">
        <v>41</v>
      </c>
      <c r="I10" s="332"/>
      <c r="J10" s="332"/>
      <c r="K10" s="332"/>
      <c r="L10" s="332"/>
      <c r="M10" s="332"/>
      <c r="N10" s="332"/>
      <c r="O10" s="332"/>
      <c r="P10" s="332"/>
      <c r="Q10" s="205"/>
      <c r="R10" s="232"/>
      <c r="S10" s="205"/>
      <c r="T10" s="205"/>
      <c r="U10" s="205"/>
      <c r="V10" s="205"/>
      <c r="W10" s="205"/>
      <c r="X10" s="205"/>
      <c r="Y10" s="205"/>
      <c r="Z10" s="205"/>
    </row>
    <row r="11" spans="1:26">
      <c r="B11" s="92" t="s">
        <v>113</v>
      </c>
      <c r="C11" s="129">
        <f>IF(Inputs!F12=0,0,Inputs!F10/Inputs!F12*(1-Inputs!F13))</f>
        <v>0.4</v>
      </c>
      <c r="D11" s="238"/>
      <c r="E11" s="93">
        <f>Inputs!F11</f>
        <v>400</v>
      </c>
      <c r="F11" s="93" t="s">
        <v>45</v>
      </c>
      <c r="G11" s="93"/>
      <c r="H11" s="241">
        <f>C11*E11</f>
        <v>160</v>
      </c>
      <c r="I11" s="332"/>
      <c r="J11" s="332"/>
      <c r="K11" s="332"/>
      <c r="L11" s="332"/>
      <c r="M11" s="332"/>
      <c r="N11" s="332"/>
      <c r="O11" s="332"/>
      <c r="P11" s="332"/>
      <c r="Q11" s="205"/>
      <c r="R11" s="232"/>
      <c r="S11" s="205"/>
      <c r="T11" s="205"/>
      <c r="U11" s="205"/>
      <c r="V11" s="205"/>
      <c r="W11" s="205"/>
      <c r="X11" s="205"/>
      <c r="Y11" s="205"/>
      <c r="Z11" s="205"/>
    </row>
    <row r="12" spans="1:26">
      <c r="B12" s="92"/>
      <c r="C12" s="75"/>
      <c r="D12" s="105"/>
      <c r="E12" s="105"/>
      <c r="F12" s="93"/>
      <c r="G12" s="93"/>
      <c r="H12" s="241"/>
      <c r="I12" s="332"/>
      <c r="J12" s="332"/>
      <c r="K12" s="332"/>
      <c r="L12" s="332"/>
      <c r="M12" s="332"/>
      <c r="N12" s="332"/>
      <c r="O12" s="332"/>
      <c r="P12" s="332"/>
      <c r="Q12" s="205"/>
      <c r="R12" s="233" t="s">
        <v>128</v>
      </c>
      <c r="S12" s="205"/>
      <c r="T12" s="205"/>
      <c r="U12" s="205"/>
      <c r="V12" s="205"/>
      <c r="W12" s="205"/>
      <c r="X12" s="205"/>
      <c r="Y12" s="205"/>
      <c r="Z12" s="205"/>
    </row>
    <row r="13" spans="1:26" s="116" customFormat="1" ht="12.75" customHeight="1">
      <c r="A13" s="312"/>
      <c r="B13" s="92"/>
      <c r="C13" s="386" t="s">
        <v>132</v>
      </c>
      <c r="D13" s="220"/>
      <c r="E13" s="388" t="s">
        <v>133</v>
      </c>
      <c r="F13" s="93"/>
      <c r="G13" s="93"/>
      <c r="H13" s="241"/>
      <c r="I13" s="332"/>
      <c r="J13" s="334"/>
      <c r="K13" s="385"/>
      <c r="L13" s="385"/>
      <c r="M13" s="385"/>
      <c r="N13" s="332"/>
      <c r="O13" s="336"/>
      <c r="P13" s="336"/>
      <c r="Q13" s="205"/>
      <c r="R13" s="233" t="s">
        <v>134</v>
      </c>
      <c r="S13" s="207"/>
      <c r="T13" s="207"/>
      <c r="U13" s="207"/>
      <c r="V13" s="207"/>
      <c r="W13" s="207"/>
      <c r="X13" s="207">
        <v>1</v>
      </c>
      <c r="Y13" s="207"/>
      <c r="Z13" s="205"/>
    </row>
    <row r="14" spans="1:26" s="116" customFormat="1" ht="14.25" customHeight="1">
      <c r="A14" s="312"/>
      <c r="B14" s="134" t="s">
        <v>145</v>
      </c>
      <c r="C14" s="387"/>
      <c r="D14" s="220"/>
      <c r="E14" s="388"/>
      <c r="F14" s="389" t="s">
        <v>6</v>
      </c>
      <c r="G14" s="389"/>
      <c r="H14" s="242"/>
      <c r="I14" s="312"/>
      <c r="J14" s="362"/>
      <c r="K14" s="319"/>
      <c r="L14" s="319"/>
      <c r="M14" s="319"/>
      <c r="N14" s="338" t="s">
        <v>46</v>
      </c>
      <c r="O14" s="336"/>
      <c r="P14" s="336"/>
      <c r="Q14" s="205"/>
      <c r="R14" s="232"/>
      <c r="S14" s="207"/>
      <c r="T14" s="207"/>
      <c r="U14" s="207"/>
      <c r="V14" s="207"/>
      <c r="W14" s="207"/>
      <c r="X14" s="207"/>
      <c r="Y14" s="207"/>
      <c r="Z14" s="205"/>
    </row>
    <row r="15" spans="1:26" ht="12.75" customHeight="1">
      <c r="B15" s="361" t="s">
        <v>162</v>
      </c>
      <c r="C15" s="365">
        <v>1000</v>
      </c>
      <c r="D15" s="153"/>
      <c r="E15" s="369" t="s">
        <v>128</v>
      </c>
      <c r="F15" s="381" t="str">
        <f t="shared" ref="F15:F21" si="0">IF(B15="","",CONCATENATE("@ ",TEXT(VLOOKUP($B15,Feed,6,FALSE),"0.00")," per ",VLOOKUP(B15,Feed,4,FALSE)))</f>
        <v>@ 0.03 per pounds</v>
      </c>
      <c r="G15" s="382"/>
      <c r="H15" s="241">
        <f>IF(B15=0,"",IF(E15="","",C15*VLOOKUP(B15,Feed,6,FALSE)*IF(E15="total",1,Inputs!$F$10)))</f>
        <v>68.333333333333329</v>
      </c>
      <c r="J15" s="342" t="s">
        <v>128</v>
      </c>
      <c r="K15" s="328"/>
      <c r="L15" s="317"/>
      <c r="M15" s="317"/>
      <c r="N15" s="334" t="str">
        <f>IF($B15="","",VLOOKUP($B15,Feed,4,FALSE))</f>
        <v>pounds</v>
      </c>
      <c r="O15" s="334">
        <f t="shared" ref="O15:O21" si="1">IF($B15="","",VLOOKUP($B15,Feed,5,FALSE))</f>
        <v>1200</v>
      </c>
      <c r="P15" s="339">
        <f t="shared" ref="P15:P21" si="2">K15+L15+M15</f>
        <v>0</v>
      </c>
      <c r="Q15" s="205"/>
      <c r="R15" s="233" t="str">
        <f>IF(Inputs!B32="","",Inputs!B32)</f>
        <v>Grass Hay</v>
      </c>
      <c r="S15" s="205"/>
      <c r="T15" s="205"/>
      <c r="U15" s="205"/>
      <c r="V15" s="205"/>
      <c r="W15" s="205"/>
      <c r="X15" s="205">
        <v>2</v>
      </c>
      <c r="Y15" s="205"/>
      <c r="Z15" s="205"/>
    </row>
    <row r="16" spans="1:26" ht="14.25" customHeight="1">
      <c r="B16" s="361" t="s">
        <v>122</v>
      </c>
      <c r="C16" s="365">
        <v>1000</v>
      </c>
      <c r="D16" s="153"/>
      <c r="E16" s="369" t="s">
        <v>128</v>
      </c>
      <c r="F16" s="381" t="str">
        <f t="shared" si="0"/>
        <v>@ 0.04 per pounds</v>
      </c>
      <c r="G16" s="382"/>
      <c r="H16" s="241">
        <f>IF(B16=0,"",IF(E16="","",C16*VLOOKUP(B16,Feed,6,FALSE)*IF(E16="total",1,Inputs!$F$10)))</f>
        <v>71.666666666666671</v>
      </c>
      <c r="J16" s="342" t="s">
        <v>134</v>
      </c>
      <c r="K16" s="328"/>
      <c r="L16" s="317"/>
      <c r="M16" s="317"/>
      <c r="N16" s="334" t="str">
        <f t="shared" ref="N16:N21" si="3">IF(B16="","",VLOOKUP(B16,Feed,4,FALSE))</f>
        <v>pounds</v>
      </c>
      <c r="O16" s="334">
        <f t="shared" si="1"/>
        <v>1200</v>
      </c>
      <c r="P16" s="339">
        <f t="shared" si="2"/>
        <v>0</v>
      </c>
      <c r="Q16" s="205"/>
      <c r="R16" s="233" t="str">
        <f>IF(Inputs!B33="","",Inputs!B33)</f>
        <v>Alfalfa Hay</v>
      </c>
      <c r="S16" s="205"/>
      <c r="T16" s="205"/>
      <c r="U16" s="205"/>
      <c r="V16" s="205"/>
      <c r="W16" s="205"/>
      <c r="X16" s="205">
        <v>3</v>
      </c>
      <c r="Y16" s="205"/>
      <c r="Z16" s="205"/>
    </row>
    <row r="17" spans="2:26">
      <c r="B17" s="361" t="s">
        <v>165</v>
      </c>
      <c r="C17" s="365"/>
      <c r="D17" s="153"/>
      <c r="E17" s="369"/>
      <c r="F17" s="381" t="str">
        <f t="shared" si="0"/>
        <v>@ 0.56 per pounds</v>
      </c>
      <c r="G17" s="382"/>
      <c r="H17" s="241" t="str">
        <f>IF(B17=0,"",IF(E17="","",C17*VLOOKUP(B17,Feed,6,FALSE)*IF(E17="total",1,Inputs!$F$10)))</f>
        <v/>
      </c>
      <c r="J17" s="317"/>
      <c r="K17" s="328"/>
      <c r="L17" s="317"/>
      <c r="M17" s="317"/>
      <c r="N17" s="334" t="str">
        <f t="shared" si="3"/>
        <v>pounds</v>
      </c>
      <c r="O17" s="334">
        <f t="shared" si="1"/>
        <v>50</v>
      </c>
      <c r="P17" s="339">
        <f t="shared" si="2"/>
        <v>0</v>
      </c>
      <c r="Q17" s="205"/>
      <c r="R17" s="233" t="str">
        <f>IF(Inputs!B34="","",Inputs!B34)</f>
        <v>Modified Distillers Grains</v>
      </c>
      <c r="S17" s="205"/>
      <c r="T17" s="205"/>
      <c r="U17" s="205"/>
      <c r="V17" s="205"/>
      <c r="W17" s="205"/>
      <c r="X17" s="205">
        <v>4</v>
      </c>
      <c r="Y17" s="205"/>
      <c r="Z17" s="205"/>
    </row>
    <row r="18" spans="2:26">
      <c r="B18" s="361" t="s">
        <v>168</v>
      </c>
      <c r="C18" s="365">
        <v>180</v>
      </c>
      <c r="D18" s="153"/>
      <c r="E18" s="369" t="s">
        <v>128</v>
      </c>
      <c r="F18" s="381" t="str">
        <f t="shared" si="0"/>
        <v>@ 0.03 per pounds</v>
      </c>
      <c r="G18" s="382"/>
      <c r="H18" s="241">
        <f>IF(B18=0,"",IF(E18="","",C18*VLOOKUP(B18,Feed,6,FALSE)*IF(E18="total",1,Inputs!$F$10)))</f>
        <v>9</v>
      </c>
      <c r="J18" s="317"/>
      <c r="K18" s="328"/>
      <c r="L18" s="317"/>
      <c r="M18" s="317"/>
      <c r="N18" s="334" t="str">
        <f t="shared" si="3"/>
        <v>pounds</v>
      </c>
      <c r="O18" s="334">
        <f t="shared" si="1"/>
        <v>2000</v>
      </c>
      <c r="P18" s="339">
        <f t="shared" si="2"/>
        <v>0</v>
      </c>
      <c r="Q18" s="205"/>
      <c r="R18" s="233" t="str">
        <f>IF(Inputs!B35="","",Inputs!B35)</f>
        <v>Mineral</v>
      </c>
      <c r="S18" s="205"/>
      <c r="T18" s="205"/>
      <c r="U18" s="205"/>
      <c r="V18" s="205"/>
      <c r="W18" s="205"/>
      <c r="X18" s="205">
        <v>5</v>
      </c>
      <c r="Y18" s="205"/>
      <c r="Z18" s="205"/>
    </row>
    <row r="19" spans="2:26">
      <c r="B19" s="361"/>
      <c r="C19" s="365"/>
      <c r="D19" s="153"/>
      <c r="E19" s="369"/>
      <c r="F19" s="381" t="str">
        <f t="shared" si="0"/>
        <v/>
      </c>
      <c r="G19" s="382"/>
      <c r="H19" s="241" t="str">
        <f>IF(B19=0,"",IF(E19="","",C19*VLOOKUP(B19,Feed,6,FALSE)*IF(E19="total",1,Inputs!$F$10)))</f>
        <v/>
      </c>
      <c r="J19" s="317"/>
      <c r="K19" s="328"/>
      <c r="L19" s="317"/>
      <c r="M19" s="317"/>
      <c r="N19" s="334" t="str">
        <f t="shared" si="3"/>
        <v/>
      </c>
      <c r="O19" s="334" t="str">
        <f t="shared" si="1"/>
        <v/>
      </c>
      <c r="P19" s="339">
        <f t="shared" si="2"/>
        <v>0</v>
      </c>
      <c r="Q19" s="205"/>
      <c r="R19" s="233" t="str">
        <f>IF(Inputs!B36="","",Inputs!B36)</f>
        <v/>
      </c>
      <c r="S19" s="205"/>
      <c r="T19" s="205"/>
      <c r="U19" s="205"/>
      <c r="V19" s="205"/>
      <c r="W19" s="205"/>
      <c r="X19" s="205">
        <v>6</v>
      </c>
      <c r="Y19" s="205"/>
      <c r="Z19" s="205"/>
    </row>
    <row r="20" spans="2:26">
      <c r="B20" s="361"/>
      <c r="C20" s="365"/>
      <c r="D20" s="153" t="str">
        <f>IF(B20="","",CONCATENATE(VLOOKUP(B20,Feed,4,FALSE),"s"))</f>
        <v/>
      </c>
      <c r="E20" s="369"/>
      <c r="F20" s="381" t="str">
        <f t="shared" si="0"/>
        <v/>
      </c>
      <c r="G20" s="382"/>
      <c r="H20" s="241" t="str">
        <f>IF(B20=0,"",IF(E20="","",C20*VLOOKUP(B20,Feed,6,FALSE)*IF(E20="total",1,Inputs!$F$10)))</f>
        <v/>
      </c>
      <c r="J20" s="317"/>
      <c r="K20" s="328"/>
      <c r="L20" s="317"/>
      <c r="M20" s="317"/>
      <c r="N20" s="334" t="str">
        <f t="shared" si="3"/>
        <v/>
      </c>
      <c r="O20" s="334" t="str">
        <f t="shared" si="1"/>
        <v/>
      </c>
      <c r="P20" s="339">
        <f t="shared" si="2"/>
        <v>0</v>
      </c>
      <c r="Q20" s="205"/>
      <c r="R20" s="233" t="str">
        <f>IF(Inputs!B37="","",Inputs!B37)</f>
        <v/>
      </c>
      <c r="S20" s="205"/>
      <c r="T20" s="205"/>
      <c r="U20" s="205"/>
      <c r="V20" s="205"/>
      <c r="W20" s="205"/>
      <c r="X20" s="205">
        <v>7</v>
      </c>
      <c r="Y20" s="205"/>
      <c r="Z20" s="205"/>
    </row>
    <row r="21" spans="2:26" ht="13.5" thickBot="1">
      <c r="B21" s="361"/>
      <c r="C21" s="365"/>
      <c r="D21" s="153" t="str">
        <f>IF(B21="","",CONCATENATE(VLOOKUP(B21,Feed,4,FALSE),"s"))</f>
        <v/>
      </c>
      <c r="E21" s="369"/>
      <c r="F21" s="381" t="str">
        <f t="shared" si="0"/>
        <v/>
      </c>
      <c r="G21" s="382"/>
      <c r="H21" s="243" t="str">
        <f>IF(B21=0,"",IF(E21="","",C21*VLOOKUP(B21,Feed,6,FALSE)*IF(E21="total",1,Inputs!$F$10)))</f>
        <v/>
      </c>
      <c r="J21" s="317"/>
      <c r="K21" s="328"/>
      <c r="L21" s="317"/>
      <c r="M21" s="317"/>
      <c r="N21" s="334" t="str">
        <f t="shared" si="3"/>
        <v/>
      </c>
      <c r="O21" s="334" t="str">
        <f t="shared" si="1"/>
        <v/>
      </c>
      <c r="P21" s="339">
        <f t="shared" si="2"/>
        <v>0</v>
      </c>
      <c r="Q21" s="205"/>
      <c r="R21" s="233" t="str">
        <f>IF(Inputs!B38="","",Inputs!B38)</f>
        <v/>
      </c>
      <c r="S21" s="205"/>
      <c r="T21" s="205"/>
      <c r="U21" s="205"/>
      <c r="V21" s="205"/>
      <c r="W21" s="205"/>
      <c r="X21" s="205">
        <v>8</v>
      </c>
      <c r="Y21" s="205"/>
      <c r="Z21" s="205"/>
    </row>
    <row r="22" spans="2:26" ht="13.5" thickTop="1">
      <c r="B22" s="92"/>
      <c r="C22" s="130"/>
      <c r="D22" s="93"/>
      <c r="E22" s="93"/>
      <c r="F22" s="123"/>
      <c r="G22" s="71" t="s">
        <v>47</v>
      </c>
      <c r="H22" s="244">
        <f>SUM(H15:H21)</f>
        <v>149</v>
      </c>
      <c r="I22" s="332"/>
      <c r="J22" s="332"/>
      <c r="K22" s="332"/>
      <c r="L22" s="332"/>
      <c r="M22" s="332"/>
      <c r="N22" s="332"/>
      <c r="O22" s="332"/>
      <c r="P22" s="332"/>
      <c r="Q22" s="205"/>
      <c r="R22" s="233" t="str">
        <f>IF(Inputs!B39="","",Inputs!B39)</f>
        <v/>
      </c>
      <c r="S22" s="205"/>
      <c r="T22" s="205"/>
      <c r="U22" s="205"/>
      <c r="V22" s="205"/>
      <c r="W22" s="205"/>
      <c r="X22" s="205"/>
      <c r="Y22" s="205"/>
      <c r="Z22" s="205"/>
    </row>
    <row r="23" spans="2:26">
      <c r="B23" s="92"/>
      <c r="C23" s="74"/>
      <c r="D23" s="93"/>
      <c r="E23" s="101"/>
      <c r="F23" s="93"/>
      <c r="G23" s="137"/>
      <c r="H23" s="245"/>
      <c r="I23" s="332"/>
      <c r="J23" s="332"/>
      <c r="K23" s="332"/>
      <c r="L23" s="332"/>
      <c r="M23" s="332"/>
      <c r="N23" s="332"/>
      <c r="O23" s="332"/>
      <c r="P23" s="332"/>
      <c r="Q23" s="205"/>
      <c r="R23" s="233" t="str">
        <f>IF(Inputs!B40="","",Inputs!B40)</f>
        <v/>
      </c>
      <c r="S23" s="205"/>
      <c r="T23" s="205"/>
      <c r="U23" s="205"/>
      <c r="V23" s="205"/>
      <c r="W23" s="205"/>
      <c r="X23" s="205"/>
      <c r="Y23" s="206"/>
      <c r="Z23" s="205"/>
    </row>
    <row r="24" spans="2:26" ht="14.25" customHeight="1">
      <c r="B24" s="134" t="s">
        <v>136</v>
      </c>
      <c r="C24" s="74"/>
      <c r="D24" s="93"/>
      <c r="E24" s="147" t="s">
        <v>64</v>
      </c>
      <c r="F24" s="93"/>
      <c r="G24" s="82"/>
      <c r="H24" s="242" t="s">
        <v>41</v>
      </c>
      <c r="I24" s="332"/>
      <c r="J24" s="332"/>
      <c r="K24" s="332"/>
      <c r="L24" s="332"/>
      <c r="M24" s="332"/>
      <c r="N24" s="332"/>
      <c r="O24" s="332"/>
      <c r="P24" s="332"/>
      <c r="Q24" s="205"/>
      <c r="R24" s="233" t="str">
        <f>IF(Inputs!B41="","",Inputs!B41)</f>
        <v/>
      </c>
      <c r="S24" s="205"/>
      <c r="T24" s="205"/>
      <c r="U24" s="205"/>
      <c r="V24" s="205"/>
      <c r="W24" s="205"/>
      <c r="X24" s="205"/>
      <c r="Y24" s="206"/>
      <c r="Z24" s="205"/>
    </row>
    <row r="25" spans="2:26">
      <c r="B25" s="45" t="s">
        <v>103</v>
      </c>
      <c r="C25" s="74"/>
      <c r="D25" s="93"/>
      <c r="E25" s="136">
        <f t="shared" ref="E25:E30" si="4">IF(B25="","",VLOOKUP(B25,NonFeed,4,FALSE))</f>
        <v>1</v>
      </c>
      <c r="F25" s="93"/>
      <c r="G25" s="93"/>
      <c r="H25" s="241">
        <f>IF(B25="","",E25*VLOOKUP(B25,NonFeed,2,FALSE)*IF(VLOOKUP(B25,NonFeed,3,FALSE)="per animal",$C$11,1))</f>
        <v>1</v>
      </c>
      <c r="I25" s="332"/>
      <c r="J25" s="332"/>
      <c r="K25" s="332"/>
      <c r="L25" s="332"/>
      <c r="M25" s="332"/>
      <c r="N25" s="332"/>
      <c r="O25" s="332"/>
      <c r="P25" s="332"/>
      <c r="Q25" s="205"/>
      <c r="R25" s="232"/>
      <c r="S25" s="205"/>
      <c r="T25" s="205"/>
      <c r="U25" s="205"/>
      <c r="V25" s="205"/>
      <c r="W25" s="205"/>
      <c r="X25" s="205"/>
      <c r="Y25" s="206"/>
      <c r="Z25" s="205"/>
    </row>
    <row r="26" spans="2:26">
      <c r="B26" s="361"/>
      <c r="C26" s="74"/>
      <c r="D26" s="93"/>
      <c r="E26" s="136" t="str">
        <f t="shared" si="4"/>
        <v/>
      </c>
      <c r="F26" s="93"/>
      <c r="G26" s="93"/>
      <c r="H26" s="241" t="str">
        <f>IF(B26="","",E26*VLOOKUP(B26,NonFeed,2,FALSE)*IF(VLOOKUP(B26,NonFeed,3,FALSE)="per animal",Inputs!$F$10,1))</f>
        <v/>
      </c>
      <c r="I26" s="332"/>
      <c r="J26" s="332"/>
      <c r="K26" s="332"/>
      <c r="L26" s="332"/>
      <c r="M26" s="332"/>
      <c r="N26" s="332"/>
      <c r="O26" s="332"/>
      <c r="P26" s="332"/>
      <c r="Q26" s="205"/>
      <c r="R26" s="232"/>
      <c r="S26" s="205"/>
      <c r="T26" s="205"/>
      <c r="U26" s="205"/>
      <c r="V26" s="205"/>
      <c r="W26" s="205"/>
      <c r="X26" s="205"/>
      <c r="Y26" s="206"/>
      <c r="Z26" s="205"/>
    </row>
    <row r="27" spans="2:26">
      <c r="B27" s="361" t="s">
        <v>12</v>
      </c>
      <c r="C27" s="93"/>
      <c r="D27" s="123"/>
      <c r="E27" s="136" t="str">
        <f t="shared" si="4"/>
        <v/>
      </c>
      <c r="F27" s="93"/>
      <c r="G27" s="93"/>
      <c r="H27" s="241" t="str">
        <f>IF(B27="","",E27*VLOOKUP(B27,NonFeed,2,FALSE)*IF(VLOOKUP(B27,NonFeed,3,FALSE)="per animal",Inputs!$F$10,1))</f>
        <v/>
      </c>
      <c r="I27" s="332"/>
      <c r="J27" s="334"/>
      <c r="K27" s="332"/>
      <c r="L27" s="332"/>
      <c r="M27" s="332"/>
      <c r="N27" s="332"/>
      <c r="O27" s="332"/>
      <c r="P27" s="332"/>
      <c r="Q27" s="205"/>
      <c r="R27" s="232" t="str">
        <f>IF(Inputs!B52="","",Inputs!B52)</f>
        <v>Trucking</v>
      </c>
      <c r="S27" s="205"/>
      <c r="T27" s="205"/>
      <c r="U27" s="205"/>
      <c r="V27" s="205"/>
      <c r="W27" s="205"/>
      <c r="X27" s="205"/>
      <c r="Y27" s="206"/>
      <c r="Z27" s="205"/>
    </row>
    <row r="28" spans="2:26">
      <c r="B28" s="361"/>
      <c r="C28" s="103" t="s">
        <v>12</v>
      </c>
      <c r="D28" s="103"/>
      <c r="E28" s="136" t="str">
        <f t="shared" si="4"/>
        <v/>
      </c>
      <c r="F28" s="93"/>
      <c r="G28" s="93"/>
      <c r="H28" s="241" t="str">
        <f>IF(B28="","",E28*VLOOKUP(B28,NonFeed,2,FALSE)*IF(VLOOKUP(B28,NonFeed,3,FALSE)="per animal",Inputs!$F$10,1))</f>
        <v/>
      </c>
      <c r="I28" s="332"/>
      <c r="J28" s="334"/>
      <c r="K28" s="332"/>
      <c r="L28" s="332"/>
      <c r="M28" s="332"/>
      <c r="N28" s="332"/>
      <c r="O28" s="332"/>
      <c r="P28" s="332"/>
      <c r="Q28" s="205"/>
      <c r="R28" s="232" t="str">
        <f>IF(Inputs!B53="","",Inputs!B53)</f>
        <v/>
      </c>
      <c r="S28" s="205"/>
      <c r="T28" s="205"/>
      <c r="U28" s="205"/>
      <c r="V28" s="205"/>
      <c r="W28" s="205"/>
      <c r="X28" s="205"/>
      <c r="Y28" s="206"/>
      <c r="Z28" s="205"/>
    </row>
    <row r="29" spans="2:26">
      <c r="B29" s="361" t="s">
        <v>12</v>
      </c>
      <c r="C29" s="103" t="s">
        <v>12</v>
      </c>
      <c r="D29" s="103"/>
      <c r="E29" s="136" t="str">
        <f t="shared" si="4"/>
        <v/>
      </c>
      <c r="F29" s="93"/>
      <c r="G29" s="93"/>
      <c r="H29" s="241" t="str">
        <f>IF(B29="","",E29*VLOOKUP(B29,NonFeed,2,FALSE)*IF(VLOOKUP(B29,NonFeed,3,FALSE)="per animal",Inputs!$F$10,1))</f>
        <v/>
      </c>
      <c r="I29" s="332"/>
      <c r="J29" s="332"/>
      <c r="K29" s="332"/>
      <c r="L29" s="332"/>
      <c r="M29" s="332"/>
      <c r="N29" s="332"/>
      <c r="O29" s="332"/>
      <c r="P29" s="332"/>
      <c r="Q29" s="205"/>
      <c r="R29" s="232" t="str">
        <f>IF(Inputs!B54="","",Inputs!B54)</f>
        <v/>
      </c>
      <c r="S29" s="205"/>
      <c r="T29" s="205"/>
      <c r="U29" s="205"/>
      <c r="V29" s="205"/>
      <c r="W29" s="205"/>
      <c r="X29" s="205"/>
      <c r="Y29" s="205"/>
      <c r="Z29" s="205"/>
    </row>
    <row r="30" spans="2:26">
      <c r="B30" s="361"/>
      <c r="C30" s="103"/>
      <c r="D30" s="103"/>
      <c r="E30" s="136" t="str">
        <f t="shared" si="4"/>
        <v/>
      </c>
      <c r="F30" s="123"/>
      <c r="G30" s="93"/>
      <c r="H30" s="241" t="str">
        <f>IF(B30="","",E30*VLOOKUP(B30,NonFeed,2,FALSE)*IF(VLOOKUP(B30,NonFeed,3,FALSE)="per animal",Inputs!$F$10,1))</f>
        <v/>
      </c>
      <c r="I30" s="332"/>
      <c r="J30" s="332"/>
      <c r="K30" s="332"/>
      <c r="L30" s="332"/>
      <c r="M30" s="332"/>
      <c r="N30" s="332"/>
      <c r="O30" s="332"/>
      <c r="P30" s="332"/>
      <c r="Q30" s="205"/>
      <c r="R30" s="232" t="str">
        <f>IF(Inputs!B55="","",Inputs!B55)</f>
        <v/>
      </c>
      <c r="S30" s="205"/>
      <c r="T30" s="205"/>
      <c r="U30" s="205"/>
      <c r="V30" s="205"/>
      <c r="W30" s="205"/>
      <c r="X30" s="205"/>
      <c r="Y30" s="205"/>
      <c r="Z30" s="205"/>
    </row>
    <row r="31" spans="2:26" ht="13.5" thickBot="1">
      <c r="B31" s="92" t="s">
        <v>48</v>
      </c>
      <c r="C31" s="74"/>
      <c r="D31" s="93"/>
      <c r="E31" s="93"/>
      <c r="F31" s="103"/>
      <c r="G31" s="123"/>
      <c r="H31" s="243">
        <f>((H22+SUM(H25:H30))*Inputs!$D$74/2)</f>
        <v>4.5</v>
      </c>
      <c r="I31" s="332"/>
      <c r="J31" s="332"/>
      <c r="K31" s="332"/>
      <c r="L31" s="332"/>
      <c r="M31" s="332"/>
      <c r="N31" s="332"/>
      <c r="O31" s="332"/>
      <c r="P31" s="332"/>
      <c r="Q31" s="205"/>
      <c r="R31" s="232" t="str">
        <f>IF(Inputs!B56="","",Inputs!B56)</f>
        <v/>
      </c>
      <c r="S31" s="205"/>
      <c r="T31" s="205"/>
      <c r="U31" s="205"/>
      <c r="V31" s="205"/>
      <c r="W31" s="205"/>
      <c r="X31" s="205"/>
      <c r="Y31" s="205"/>
      <c r="Z31" s="205"/>
    </row>
    <row r="32" spans="2:26" ht="14.25" thickTop="1" thickBot="1">
      <c r="B32" s="96"/>
      <c r="C32" s="77"/>
      <c r="D32" s="97"/>
      <c r="E32" s="97"/>
      <c r="F32" s="154"/>
      <c r="G32" s="107" t="s">
        <v>65</v>
      </c>
      <c r="H32" s="246">
        <f>SUM(H25:H31)</f>
        <v>5.5</v>
      </c>
      <c r="I32" s="332"/>
      <c r="J32" s="332"/>
      <c r="K32" s="332"/>
      <c r="L32" s="332"/>
      <c r="M32" s="332"/>
      <c r="N32" s="332"/>
      <c r="O32" s="332"/>
      <c r="P32" s="332"/>
      <c r="Q32" s="205"/>
      <c r="R32" s="232" t="str">
        <f>IF(Inputs!B57="","",Inputs!B57)</f>
        <v/>
      </c>
      <c r="S32" s="205"/>
      <c r="T32" s="205"/>
      <c r="U32" s="205"/>
      <c r="V32" s="205"/>
      <c r="W32" s="205"/>
      <c r="X32" s="205"/>
      <c r="Y32" s="205"/>
      <c r="Z32" s="205"/>
    </row>
    <row r="33" spans="2:26" ht="16.5" thickBot="1">
      <c r="B33" s="121"/>
      <c r="C33" s="81"/>
      <c r="D33" s="81"/>
      <c r="E33" s="81"/>
      <c r="F33" s="81"/>
      <c r="G33" s="62" t="s">
        <v>49</v>
      </c>
      <c r="H33" s="247">
        <f>SUM(H11:H11)+H22+H32</f>
        <v>314.5</v>
      </c>
      <c r="I33" s="332"/>
      <c r="J33" s="332"/>
      <c r="K33" s="332"/>
      <c r="L33" s="332"/>
      <c r="M33" s="332"/>
      <c r="N33" s="332"/>
      <c r="O33" s="332"/>
      <c r="P33" s="332"/>
      <c r="Q33" s="205"/>
      <c r="R33" s="232" t="str">
        <f>IF(Inputs!B58="","",Inputs!B58)</f>
        <v/>
      </c>
      <c r="S33" s="205"/>
      <c r="T33" s="205"/>
      <c r="U33" s="205"/>
      <c r="V33" s="205"/>
      <c r="W33" s="205"/>
      <c r="X33" s="205"/>
      <c r="Y33" s="205"/>
      <c r="Z33" s="205"/>
    </row>
    <row r="34" spans="2:26" ht="13.5" thickBot="1">
      <c r="B34" s="93"/>
      <c r="C34" s="93"/>
      <c r="D34" s="93"/>
      <c r="E34" s="93"/>
      <c r="F34" s="105"/>
      <c r="G34" s="105"/>
      <c r="H34" s="228"/>
      <c r="I34" s="332"/>
      <c r="J34" s="332"/>
      <c r="K34" s="332"/>
      <c r="L34" s="332"/>
      <c r="M34" s="332"/>
      <c r="N34" s="332"/>
      <c r="O34" s="332"/>
      <c r="P34" s="332"/>
      <c r="Q34" s="205"/>
      <c r="R34" s="232" t="str">
        <f>IF(Inputs!B59="","",Inputs!B59)</f>
        <v/>
      </c>
      <c r="S34" s="205"/>
      <c r="T34" s="205"/>
      <c r="U34" s="205"/>
      <c r="V34" s="205"/>
      <c r="W34" s="205"/>
      <c r="X34" s="205"/>
      <c r="Y34" s="205"/>
      <c r="Z34" s="205"/>
    </row>
    <row r="35" spans="2:26" ht="16.5" thickBot="1">
      <c r="B35" s="121"/>
      <c r="C35" s="122"/>
      <c r="D35" s="122"/>
      <c r="E35" s="122"/>
      <c r="F35" s="122"/>
      <c r="G35" s="62" t="s">
        <v>146</v>
      </c>
      <c r="H35" s="247">
        <f>H33-H7</f>
        <v>290.5</v>
      </c>
      <c r="I35" s="332"/>
      <c r="J35" s="332"/>
      <c r="K35" s="332"/>
      <c r="L35" s="332"/>
      <c r="M35" s="332"/>
      <c r="N35" s="332"/>
      <c r="O35" s="332"/>
      <c r="P35" s="332"/>
      <c r="Q35" s="205"/>
      <c r="R35" s="232"/>
      <c r="S35" s="205"/>
      <c r="T35" s="205"/>
      <c r="U35" s="205"/>
      <c r="V35" s="205"/>
      <c r="W35" s="205"/>
      <c r="X35" s="205"/>
      <c r="Y35" s="205"/>
      <c r="Z35" s="205"/>
    </row>
    <row r="36" spans="2:26" s="312" customFormat="1">
      <c r="B36" s="334"/>
      <c r="C36" s="334"/>
      <c r="D36" s="334"/>
      <c r="E36" s="334"/>
      <c r="F36" s="334"/>
      <c r="G36" s="334"/>
      <c r="H36" s="332"/>
      <c r="I36" s="332"/>
      <c r="J36" s="332"/>
      <c r="K36" s="332"/>
      <c r="L36" s="332"/>
      <c r="M36" s="332"/>
      <c r="N36" s="332"/>
      <c r="O36" s="332"/>
      <c r="P36" s="332"/>
      <c r="Q36" s="332"/>
      <c r="R36" s="333"/>
      <c r="S36" s="332"/>
      <c r="T36" s="332"/>
      <c r="U36" s="332"/>
      <c r="V36" s="332"/>
      <c r="W36" s="332"/>
      <c r="X36" s="332"/>
      <c r="Y36" s="332"/>
      <c r="Z36" s="332"/>
    </row>
    <row r="37" spans="2:26" s="312" customFormat="1">
      <c r="B37" s="332" t="s">
        <v>12</v>
      </c>
      <c r="C37" s="332"/>
      <c r="D37" s="332"/>
      <c r="E37" s="332"/>
      <c r="F37" s="332"/>
      <c r="G37" s="332"/>
      <c r="H37" s="332"/>
      <c r="I37" s="332"/>
      <c r="J37" s="332"/>
      <c r="K37" s="332"/>
      <c r="L37" s="332"/>
      <c r="M37" s="332"/>
      <c r="N37" s="332"/>
      <c r="O37" s="332"/>
      <c r="P37" s="332"/>
      <c r="Q37" s="332"/>
      <c r="R37" s="333"/>
      <c r="S37" s="332"/>
      <c r="T37" s="332"/>
      <c r="U37" s="332"/>
      <c r="V37" s="332"/>
      <c r="W37" s="332"/>
      <c r="X37" s="332"/>
      <c r="Y37" s="332"/>
      <c r="Z37" s="332"/>
    </row>
    <row r="38" spans="2:26" s="312" customFormat="1">
      <c r="B38" s="332" t="s">
        <v>12</v>
      </c>
      <c r="C38" s="332"/>
      <c r="D38" s="332"/>
      <c r="E38" s="332"/>
      <c r="F38" s="332"/>
      <c r="G38" s="332"/>
      <c r="H38" s="332"/>
      <c r="I38" s="332"/>
      <c r="J38" s="332"/>
      <c r="K38" s="332"/>
      <c r="L38" s="332"/>
      <c r="M38" s="332"/>
      <c r="N38" s="332"/>
      <c r="O38" s="332"/>
      <c r="P38" s="332"/>
      <c r="Q38" s="332"/>
      <c r="R38" s="333"/>
      <c r="S38" s="332"/>
      <c r="T38" s="332"/>
      <c r="U38" s="332"/>
      <c r="V38" s="332"/>
      <c r="W38" s="332"/>
      <c r="X38" s="332"/>
      <c r="Y38" s="332"/>
      <c r="Z38" s="332"/>
    </row>
    <row r="39" spans="2:26" s="312" customFormat="1">
      <c r="B39" s="332" t="s">
        <v>12</v>
      </c>
      <c r="C39" s="332"/>
      <c r="D39" s="332"/>
      <c r="E39" s="332"/>
      <c r="F39" s="332"/>
      <c r="G39" s="332"/>
      <c r="H39" s="332"/>
      <c r="I39" s="332"/>
      <c r="J39" s="332"/>
      <c r="K39" s="332"/>
      <c r="L39" s="332"/>
      <c r="M39" s="332"/>
      <c r="N39" s="332"/>
      <c r="O39" s="332"/>
      <c r="P39" s="332"/>
      <c r="Q39" s="332"/>
      <c r="R39" s="333"/>
      <c r="S39" s="332"/>
      <c r="T39" s="332"/>
      <c r="U39" s="332"/>
      <c r="V39" s="332"/>
      <c r="W39" s="332"/>
      <c r="X39" s="332"/>
      <c r="Y39" s="332"/>
      <c r="Z39" s="332"/>
    </row>
    <row r="40" spans="2:26" s="312" customFormat="1">
      <c r="B40" s="332" t="s">
        <v>12</v>
      </c>
      <c r="C40" s="332"/>
      <c r="D40" s="332"/>
      <c r="E40" s="332"/>
      <c r="F40" s="332"/>
      <c r="G40" s="332"/>
      <c r="H40" s="332"/>
      <c r="I40" s="332"/>
      <c r="J40" s="332"/>
      <c r="K40" s="332"/>
      <c r="L40" s="332"/>
      <c r="M40" s="332"/>
      <c r="N40" s="332"/>
      <c r="O40" s="332"/>
      <c r="P40" s="332"/>
      <c r="Q40" s="332"/>
      <c r="R40" s="333"/>
      <c r="S40" s="332"/>
      <c r="T40" s="332"/>
      <c r="U40" s="332"/>
      <c r="V40" s="332"/>
      <c r="W40" s="332"/>
      <c r="X40" s="332"/>
      <c r="Y40" s="332"/>
      <c r="Z40" s="332"/>
    </row>
    <row r="41" spans="2:26" s="312" customFormat="1">
      <c r="B41" s="332"/>
      <c r="C41" s="332"/>
      <c r="D41" s="332"/>
      <c r="E41" s="332"/>
      <c r="F41" s="332"/>
      <c r="G41" s="332"/>
      <c r="H41" s="332"/>
      <c r="I41" s="332"/>
      <c r="J41" s="332"/>
      <c r="K41" s="332"/>
      <c r="L41" s="332"/>
      <c r="M41" s="332"/>
      <c r="N41" s="332"/>
      <c r="O41" s="332"/>
      <c r="P41" s="332"/>
      <c r="Q41" s="332"/>
      <c r="R41" s="333"/>
      <c r="S41" s="332"/>
      <c r="T41" s="332"/>
      <c r="U41" s="332"/>
      <c r="V41" s="332"/>
      <c r="W41" s="332"/>
      <c r="X41" s="332"/>
      <c r="Y41" s="332"/>
      <c r="Z41" s="332"/>
    </row>
    <row r="42" spans="2:26" s="312" customFormat="1">
      <c r="B42" s="332"/>
      <c r="C42" s="332"/>
      <c r="D42" s="332"/>
      <c r="E42" s="332"/>
      <c r="F42" s="332"/>
      <c r="G42" s="332"/>
      <c r="H42" s="332"/>
      <c r="I42" s="332"/>
      <c r="J42" s="332"/>
      <c r="K42" s="332"/>
      <c r="L42" s="332"/>
      <c r="M42" s="332"/>
      <c r="N42" s="332"/>
      <c r="O42" s="332"/>
      <c r="P42" s="332"/>
      <c r="Q42" s="332"/>
      <c r="R42" s="333"/>
      <c r="S42" s="332"/>
      <c r="T42" s="332"/>
      <c r="U42" s="332"/>
      <c r="V42" s="332"/>
      <c r="W42" s="332"/>
      <c r="X42" s="332"/>
      <c r="Y42" s="332"/>
      <c r="Z42" s="332"/>
    </row>
    <row r="43" spans="2:26" s="312" customFormat="1">
      <c r="B43" s="332"/>
      <c r="C43" s="332"/>
      <c r="D43" s="332"/>
      <c r="E43" s="332"/>
      <c r="F43" s="332"/>
      <c r="G43" s="332"/>
      <c r="H43" s="332"/>
      <c r="I43" s="332"/>
      <c r="J43" s="332"/>
      <c r="K43" s="332"/>
      <c r="L43" s="332"/>
      <c r="M43" s="332"/>
      <c r="N43" s="332"/>
      <c r="O43" s="332"/>
      <c r="P43" s="332"/>
      <c r="Q43" s="332"/>
      <c r="R43" s="333"/>
      <c r="S43" s="332"/>
      <c r="T43" s="332"/>
      <c r="U43" s="332"/>
      <c r="V43" s="332"/>
      <c r="W43" s="332"/>
      <c r="X43" s="332"/>
      <c r="Y43" s="332"/>
      <c r="Z43" s="332"/>
    </row>
    <row r="44" spans="2:26" s="312" customFormat="1">
      <c r="B44" s="332"/>
      <c r="C44" s="332"/>
      <c r="D44" s="332"/>
      <c r="E44" s="332"/>
      <c r="F44" s="332"/>
      <c r="G44" s="332"/>
      <c r="H44" s="332"/>
      <c r="I44" s="332"/>
      <c r="J44" s="332"/>
      <c r="K44" s="332"/>
      <c r="L44" s="332"/>
      <c r="M44" s="332"/>
      <c r="N44" s="332"/>
      <c r="O44" s="332"/>
      <c r="P44" s="332"/>
      <c r="Q44" s="332"/>
      <c r="R44" s="333"/>
      <c r="S44" s="332"/>
      <c r="T44" s="332"/>
      <c r="U44" s="332"/>
      <c r="V44" s="332"/>
      <c r="W44" s="332"/>
      <c r="X44" s="332"/>
      <c r="Y44" s="332"/>
      <c r="Z44" s="332"/>
    </row>
    <row r="45" spans="2:26" s="312" customFormat="1">
      <c r="B45" s="332"/>
      <c r="C45" s="332"/>
      <c r="D45" s="332"/>
      <c r="E45" s="332"/>
      <c r="F45" s="332"/>
      <c r="G45" s="332"/>
      <c r="H45" s="332"/>
      <c r="I45" s="332"/>
      <c r="J45" s="332"/>
      <c r="K45" s="332"/>
      <c r="L45" s="332"/>
      <c r="M45" s="332"/>
      <c r="N45" s="332"/>
      <c r="O45" s="332"/>
      <c r="P45" s="332"/>
      <c r="Q45" s="332"/>
      <c r="R45" s="333"/>
      <c r="S45" s="332"/>
      <c r="T45" s="332"/>
      <c r="U45" s="332"/>
      <c r="V45" s="332"/>
      <c r="W45" s="332"/>
      <c r="X45" s="332"/>
      <c r="Y45" s="332"/>
      <c r="Z45" s="332"/>
    </row>
    <row r="46" spans="2:26" s="312" customFormat="1">
      <c r="B46" s="332"/>
      <c r="C46" s="332"/>
      <c r="D46" s="332"/>
      <c r="E46" s="332"/>
      <c r="F46" s="332"/>
      <c r="G46" s="332"/>
      <c r="H46" s="332"/>
      <c r="I46" s="332"/>
      <c r="J46" s="332"/>
      <c r="K46" s="332"/>
      <c r="L46" s="332"/>
      <c r="M46" s="332"/>
      <c r="N46" s="332"/>
      <c r="O46" s="332"/>
      <c r="P46" s="332"/>
      <c r="Q46" s="332"/>
      <c r="R46" s="333"/>
      <c r="S46" s="332"/>
      <c r="T46" s="332"/>
      <c r="U46" s="332"/>
      <c r="V46" s="332"/>
      <c r="W46" s="332"/>
      <c r="X46" s="332"/>
      <c r="Y46" s="332"/>
      <c r="Z46" s="332"/>
    </row>
    <row r="47" spans="2:26" s="312" customFormat="1">
      <c r="B47" s="332"/>
      <c r="C47" s="332"/>
      <c r="D47" s="332"/>
      <c r="E47" s="332"/>
      <c r="F47" s="332"/>
      <c r="G47" s="332"/>
      <c r="H47" s="332"/>
      <c r="I47" s="332"/>
      <c r="J47" s="332"/>
      <c r="K47" s="332"/>
      <c r="L47" s="332"/>
      <c r="M47" s="332"/>
      <c r="N47" s="332"/>
      <c r="O47" s="332"/>
      <c r="P47" s="332"/>
      <c r="Q47" s="332"/>
      <c r="R47" s="333"/>
      <c r="S47" s="332"/>
      <c r="T47" s="332"/>
      <c r="U47" s="332"/>
      <c r="V47" s="332"/>
      <c r="W47" s="332"/>
      <c r="X47" s="332"/>
      <c r="Y47" s="332"/>
      <c r="Z47" s="332"/>
    </row>
    <row r="48" spans="2:26" s="312" customFormat="1">
      <c r="B48" s="332"/>
      <c r="C48" s="332"/>
      <c r="D48" s="332"/>
      <c r="E48" s="332"/>
      <c r="F48" s="332"/>
      <c r="G48" s="332"/>
      <c r="H48" s="332"/>
      <c r="I48" s="332"/>
      <c r="J48" s="332"/>
      <c r="K48" s="332"/>
      <c r="L48" s="332"/>
      <c r="M48" s="332"/>
      <c r="N48" s="332"/>
      <c r="O48" s="332"/>
      <c r="P48" s="332"/>
      <c r="Q48" s="332"/>
      <c r="R48" s="333"/>
      <c r="S48" s="332"/>
      <c r="T48" s="332"/>
      <c r="U48" s="332"/>
      <c r="V48" s="332"/>
      <c r="W48" s="332"/>
      <c r="X48" s="332"/>
      <c r="Y48" s="332"/>
      <c r="Z48" s="332"/>
    </row>
    <row r="49" spans="2:26" s="312" customFormat="1">
      <c r="B49" s="332"/>
      <c r="C49" s="332"/>
      <c r="D49" s="332"/>
      <c r="E49" s="332"/>
      <c r="F49" s="332"/>
      <c r="G49" s="332"/>
      <c r="H49" s="332"/>
      <c r="I49" s="332"/>
      <c r="J49" s="332"/>
      <c r="K49" s="332"/>
      <c r="L49" s="332"/>
      <c r="M49" s="332"/>
      <c r="N49" s="332"/>
      <c r="O49" s="332"/>
      <c r="P49" s="332"/>
      <c r="Q49" s="332"/>
      <c r="R49" s="333"/>
      <c r="S49" s="332"/>
      <c r="T49" s="332"/>
      <c r="U49" s="332"/>
      <c r="V49" s="332"/>
      <c r="W49" s="332"/>
      <c r="X49" s="332"/>
      <c r="Y49" s="332"/>
      <c r="Z49" s="332"/>
    </row>
    <row r="50" spans="2:26" s="312" customFormat="1">
      <c r="B50" s="332"/>
      <c r="C50" s="332"/>
      <c r="D50" s="332"/>
      <c r="E50" s="332"/>
      <c r="F50" s="332"/>
      <c r="G50" s="332"/>
      <c r="H50" s="332"/>
      <c r="I50" s="332"/>
      <c r="J50" s="332"/>
      <c r="K50" s="332"/>
      <c r="L50" s="332"/>
      <c r="M50" s="332"/>
      <c r="N50" s="332"/>
      <c r="O50" s="332"/>
      <c r="P50" s="332"/>
      <c r="Q50" s="332"/>
      <c r="R50" s="333"/>
      <c r="S50" s="332"/>
      <c r="T50" s="332"/>
      <c r="U50" s="332"/>
      <c r="V50" s="332"/>
      <c r="W50" s="332"/>
      <c r="X50" s="332"/>
      <c r="Y50" s="332"/>
      <c r="Z50" s="332"/>
    </row>
    <row r="51" spans="2:26" s="312" customFormat="1">
      <c r="B51" s="332"/>
      <c r="C51" s="332"/>
      <c r="D51" s="332"/>
      <c r="E51" s="332"/>
      <c r="F51" s="332"/>
      <c r="G51" s="332"/>
      <c r="H51" s="332"/>
      <c r="I51" s="332"/>
      <c r="J51" s="332"/>
      <c r="K51" s="332"/>
      <c r="L51" s="332"/>
      <c r="M51" s="332"/>
      <c r="N51" s="332"/>
      <c r="O51" s="332"/>
      <c r="P51" s="332"/>
      <c r="Q51" s="332"/>
      <c r="R51" s="333"/>
      <c r="S51" s="332"/>
      <c r="T51" s="332"/>
      <c r="U51" s="332"/>
      <c r="V51" s="332"/>
      <c r="W51" s="332"/>
      <c r="X51" s="332"/>
      <c r="Y51" s="332"/>
      <c r="Z51" s="332"/>
    </row>
    <row r="52" spans="2:26" s="312" customFormat="1">
      <c r="B52" s="332"/>
      <c r="C52" s="332"/>
      <c r="D52" s="332"/>
      <c r="E52" s="332"/>
      <c r="F52" s="332"/>
      <c r="G52" s="332"/>
      <c r="H52" s="332"/>
      <c r="I52" s="332"/>
      <c r="J52" s="332"/>
      <c r="K52" s="332"/>
      <c r="L52" s="332"/>
      <c r="M52" s="332"/>
      <c r="N52" s="332"/>
      <c r="O52" s="332"/>
      <c r="P52" s="332"/>
      <c r="Q52" s="332"/>
      <c r="R52" s="333"/>
      <c r="S52" s="332"/>
      <c r="T52" s="332"/>
      <c r="U52" s="332"/>
      <c r="V52" s="332"/>
      <c r="W52" s="332"/>
      <c r="X52" s="332"/>
      <c r="Y52" s="332"/>
      <c r="Z52" s="332"/>
    </row>
    <row r="53" spans="2:26" s="312" customFormat="1">
      <c r="B53" s="332"/>
      <c r="C53" s="332"/>
      <c r="D53" s="332"/>
      <c r="E53" s="332"/>
      <c r="F53" s="332"/>
      <c r="G53" s="332"/>
      <c r="H53" s="332"/>
      <c r="I53" s="332"/>
      <c r="J53" s="332"/>
      <c r="K53" s="332"/>
      <c r="L53" s="332"/>
      <c r="M53" s="332"/>
      <c r="N53" s="332"/>
      <c r="O53" s="332"/>
      <c r="P53" s="332"/>
      <c r="Q53" s="332"/>
      <c r="R53" s="333"/>
      <c r="S53" s="332"/>
      <c r="T53" s="332"/>
      <c r="U53" s="332"/>
      <c r="V53" s="332"/>
      <c r="W53" s="332"/>
      <c r="X53" s="332"/>
      <c r="Y53" s="332"/>
      <c r="Z53" s="332"/>
    </row>
    <row r="54" spans="2:26" s="312" customFormat="1">
      <c r="B54" s="332"/>
      <c r="C54" s="332"/>
      <c r="D54" s="332"/>
      <c r="E54" s="332"/>
      <c r="F54" s="332"/>
      <c r="G54" s="332"/>
      <c r="H54" s="332"/>
      <c r="I54" s="332"/>
      <c r="J54" s="332"/>
      <c r="K54" s="332"/>
      <c r="L54" s="332"/>
      <c r="M54" s="332"/>
      <c r="N54" s="332"/>
      <c r="O54" s="332"/>
      <c r="P54" s="332"/>
      <c r="Q54" s="332"/>
      <c r="R54" s="333"/>
      <c r="S54" s="332"/>
      <c r="T54" s="332"/>
      <c r="U54" s="332"/>
      <c r="V54" s="332"/>
      <c r="W54" s="332"/>
      <c r="X54" s="332"/>
      <c r="Y54" s="332"/>
      <c r="Z54" s="332"/>
    </row>
    <row r="55" spans="2:26" s="312" customFormat="1">
      <c r="B55" s="332"/>
      <c r="C55" s="332"/>
      <c r="D55" s="332"/>
      <c r="E55" s="332"/>
      <c r="F55" s="332"/>
      <c r="G55" s="332"/>
      <c r="H55" s="332"/>
      <c r="I55" s="332"/>
      <c r="J55" s="332"/>
      <c r="K55" s="332"/>
      <c r="L55" s="332"/>
      <c r="M55" s="332"/>
      <c r="N55" s="332"/>
      <c r="O55" s="332"/>
      <c r="P55" s="332"/>
      <c r="Q55" s="332"/>
      <c r="R55" s="333"/>
      <c r="S55" s="332"/>
      <c r="T55" s="332"/>
      <c r="U55" s="332"/>
      <c r="V55" s="332"/>
      <c r="W55" s="332"/>
      <c r="X55" s="332"/>
      <c r="Y55" s="332"/>
      <c r="Z55" s="332"/>
    </row>
    <row r="56" spans="2:26" s="312" customFormat="1">
      <c r="B56" s="332"/>
      <c r="C56" s="332"/>
      <c r="D56" s="332"/>
      <c r="E56" s="332"/>
      <c r="F56" s="332"/>
      <c r="G56" s="332"/>
      <c r="H56" s="332"/>
      <c r="I56" s="332"/>
      <c r="J56" s="332"/>
      <c r="K56" s="332"/>
      <c r="L56" s="332"/>
      <c r="M56" s="332"/>
      <c r="N56" s="332"/>
      <c r="O56" s="332"/>
      <c r="P56" s="332"/>
      <c r="Q56" s="332"/>
      <c r="R56" s="333"/>
      <c r="S56" s="332"/>
      <c r="T56" s="332"/>
      <c r="U56" s="332"/>
      <c r="V56" s="332"/>
      <c r="W56" s="332"/>
      <c r="X56" s="332"/>
      <c r="Y56" s="332"/>
      <c r="Z56" s="332"/>
    </row>
    <row r="57" spans="2:26" s="312" customFormat="1">
      <c r="B57" s="332"/>
      <c r="C57" s="332"/>
      <c r="D57" s="332"/>
      <c r="E57" s="332"/>
      <c r="F57" s="332"/>
      <c r="G57" s="332"/>
      <c r="H57" s="332"/>
      <c r="I57" s="332"/>
      <c r="J57" s="332"/>
      <c r="K57" s="332"/>
      <c r="L57" s="332"/>
      <c r="M57" s="332"/>
      <c r="N57" s="332"/>
      <c r="O57" s="332"/>
      <c r="P57" s="332"/>
      <c r="Q57" s="332"/>
      <c r="R57" s="333"/>
      <c r="S57" s="332"/>
      <c r="T57" s="332"/>
      <c r="U57" s="332"/>
      <c r="V57" s="332"/>
      <c r="W57" s="332"/>
      <c r="X57" s="332"/>
      <c r="Y57" s="332"/>
      <c r="Z57" s="332"/>
    </row>
    <row r="58" spans="2:26" s="312" customFormat="1">
      <c r="B58" s="332"/>
      <c r="C58" s="332"/>
      <c r="D58" s="332"/>
      <c r="E58" s="332"/>
      <c r="F58" s="332"/>
      <c r="G58" s="332"/>
      <c r="H58" s="332"/>
      <c r="I58" s="332"/>
      <c r="J58" s="332"/>
      <c r="K58" s="332"/>
      <c r="L58" s="332"/>
      <c r="M58" s="332"/>
      <c r="N58" s="332"/>
      <c r="O58" s="332"/>
      <c r="P58" s="332"/>
      <c r="Q58" s="332"/>
      <c r="R58" s="333"/>
      <c r="S58" s="332"/>
      <c r="T58" s="332"/>
      <c r="U58" s="332"/>
      <c r="V58" s="332"/>
      <c r="W58" s="332"/>
      <c r="X58" s="332"/>
      <c r="Y58" s="332"/>
      <c r="Z58" s="332"/>
    </row>
    <row r="59" spans="2:26" s="312" customFormat="1">
      <c r="B59" s="332"/>
      <c r="C59" s="332"/>
      <c r="D59" s="332"/>
      <c r="E59" s="332"/>
      <c r="F59" s="332"/>
      <c r="G59" s="332"/>
      <c r="H59" s="332"/>
      <c r="I59" s="332"/>
      <c r="J59" s="332"/>
      <c r="K59" s="332"/>
      <c r="L59" s="332"/>
      <c r="M59" s="332"/>
      <c r="N59" s="332"/>
      <c r="O59" s="332"/>
      <c r="P59" s="332"/>
      <c r="Q59" s="332"/>
      <c r="R59" s="333"/>
      <c r="S59" s="332"/>
      <c r="T59" s="332"/>
      <c r="U59" s="332"/>
      <c r="V59" s="332"/>
      <c r="W59" s="332"/>
      <c r="X59" s="332"/>
      <c r="Y59" s="332"/>
      <c r="Z59" s="332"/>
    </row>
    <row r="60" spans="2:26" s="312" customFormat="1">
      <c r="B60" s="332"/>
      <c r="C60" s="332"/>
      <c r="D60" s="332"/>
      <c r="E60" s="332"/>
      <c r="F60" s="332"/>
      <c r="G60" s="332"/>
      <c r="H60" s="332"/>
      <c r="I60" s="332"/>
      <c r="J60" s="332"/>
      <c r="K60" s="332"/>
      <c r="L60" s="332"/>
      <c r="M60" s="332"/>
      <c r="N60" s="332"/>
      <c r="O60" s="332"/>
      <c r="P60" s="332"/>
      <c r="Q60" s="332"/>
      <c r="R60" s="333"/>
      <c r="S60" s="332"/>
      <c r="T60" s="332"/>
      <c r="U60" s="332"/>
      <c r="V60" s="332"/>
      <c r="W60" s="332"/>
      <c r="X60" s="332"/>
      <c r="Y60" s="332"/>
      <c r="Z60" s="332"/>
    </row>
    <row r="61" spans="2:26" s="312" customFormat="1">
      <c r="B61" s="332"/>
      <c r="C61" s="332"/>
      <c r="D61" s="332"/>
      <c r="E61" s="332"/>
      <c r="F61" s="332"/>
      <c r="G61" s="332"/>
      <c r="H61" s="332"/>
      <c r="I61" s="332"/>
      <c r="J61" s="332"/>
      <c r="K61" s="332"/>
      <c r="L61" s="332"/>
      <c r="M61" s="332"/>
      <c r="N61" s="332"/>
      <c r="O61" s="332"/>
      <c r="P61" s="332"/>
      <c r="Q61" s="332"/>
      <c r="R61" s="333"/>
      <c r="S61" s="332"/>
      <c r="T61" s="332"/>
      <c r="U61" s="332"/>
      <c r="V61" s="332"/>
      <c r="W61" s="332"/>
      <c r="X61" s="332"/>
      <c r="Y61" s="332"/>
      <c r="Z61" s="332"/>
    </row>
    <row r="62" spans="2:26" s="312" customFormat="1">
      <c r="B62" s="332"/>
      <c r="C62" s="332"/>
      <c r="D62" s="332"/>
      <c r="E62" s="332"/>
      <c r="F62" s="332"/>
      <c r="G62" s="332"/>
      <c r="H62" s="332"/>
      <c r="I62" s="332"/>
      <c r="J62" s="332"/>
      <c r="K62" s="332"/>
      <c r="L62" s="332"/>
      <c r="M62" s="332"/>
      <c r="N62" s="332"/>
      <c r="O62" s="332"/>
      <c r="P62" s="332"/>
      <c r="Q62" s="332"/>
      <c r="R62" s="333"/>
      <c r="S62" s="332"/>
      <c r="T62" s="332"/>
      <c r="U62" s="332"/>
      <c r="V62" s="332"/>
      <c r="W62" s="332"/>
      <c r="X62" s="332"/>
      <c r="Y62" s="332"/>
      <c r="Z62" s="332"/>
    </row>
    <row r="63" spans="2:26" s="312" customFormat="1">
      <c r="B63" s="332"/>
      <c r="C63" s="332"/>
      <c r="D63" s="332"/>
      <c r="E63" s="332"/>
      <c r="F63" s="332"/>
      <c r="G63" s="332"/>
      <c r="H63" s="332"/>
      <c r="I63" s="332"/>
      <c r="J63" s="332"/>
      <c r="K63" s="332"/>
      <c r="L63" s="332"/>
      <c r="M63" s="332"/>
      <c r="N63" s="332"/>
      <c r="O63" s="332"/>
      <c r="P63" s="332"/>
      <c r="Q63" s="332"/>
      <c r="R63" s="333"/>
      <c r="S63" s="332"/>
      <c r="T63" s="332"/>
      <c r="U63" s="332"/>
      <c r="V63" s="332"/>
      <c r="W63" s="332"/>
      <c r="X63" s="332"/>
      <c r="Y63" s="332"/>
      <c r="Z63" s="332"/>
    </row>
    <row r="64" spans="2:26" s="312" customFormat="1">
      <c r="B64" s="332"/>
      <c r="C64" s="332"/>
      <c r="D64" s="332"/>
      <c r="E64" s="332"/>
      <c r="F64" s="332"/>
      <c r="G64" s="332"/>
      <c r="H64" s="332"/>
      <c r="I64" s="332"/>
      <c r="J64" s="332"/>
      <c r="K64" s="332"/>
      <c r="L64" s="332"/>
      <c r="M64" s="332"/>
      <c r="N64" s="332"/>
      <c r="O64" s="332"/>
      <c r="P64" s="332"/>
      <c r="Q64" s="332"/>
      <c r="R64" s="333"/>
      <c r="S64" s="332"/>
      <c r="T64" s="332"/>
      <c r="U64" s="332"/>
      <c r="V64" s="332"/>
      <c r="W64" s="332"/>
      <c r="X64" s="332"/>
      <c r="Y64" s="332"/>
      <c r="Z64" s="332"/>
    </row>
    <row r="65" spans="2:26" s="312" customFormat="1">
      <c r="B65" s="332"/>
      <c r="C65" s="332"/>
      <c r="D65" s="332"/>
      <c r="E65" s="332"/>
      <c r="F65" s="332"/>
      <c r="G65" s="332"/>
      <c r="H65" s="332"/>
      <c r="I65" s="332"/>
      <c r="J65" s="332"/>
      <c r="K65" s="332"/>
      <c r="L65" s="332"/>
      <c r="M65" s="332"/>
      <c r="N65" s="332"/>
      <c r="O65" s="332"/>
      <c r="P65" s="332"/>
      <c r="Q65" s="332"/>
      <c r="R65" s="333"/>
      <c r="S65" s="332"/>
      <c r="T65" s="332"/>
      <c r="U65" s="332"/>
      <c r="V65" s="332"/>
      <c r="W65" s="332"/>
      <c r="X65" s="332"/>
      <c r="Y65" s="332"/>
      <c r="Z65" s="332"/>
    </row>
    <row r="66" spans="2:26" s="312" customFormat="1">
      <c r="B66" s="332"/>
      <c r="C66" s="332"/>
      <c r="D66" s="332"/>
      <c r="E66" s="332"/>
      <c r="F66" s="332"/>
      <c r="G66" s="332"/>
      <c r="H66" s="332"/>
      <c r="I66" s="332"/>
      <c r="J66" s="332"/>
      <c r="K66" s="332"/>
      <c r="L66" s="332"/>
      <c r="M66" s="332"/>
      <c r="N66" s="332"/>
      <c r="O66" s="332"/>
      <c r="P66" s="332"/>
      <c r="Q66" s="332"/>
      <c r="R66" s="333"/>
      <c r="S66" s="332"/>
      <c r="T66" s="332"/>
      <c r="U66" s="332"/>
      <c r="V66" s="332"/>
      <c r="W66" s="332"/>
      <c r="X66" s="332"/>
      <c r="Y66" s="332"/>
      <c r="Z66" s="332"/>
    </row>
    <row r="67" spans="2:26" s="312" customFormat="1">
      <c r="B67" s="332"/>
      <c r="C67" s="332"/>
      <c r="D67" s="332"/>
      <c r="E67" s="332"/>
      <c r="F67" s="332"/>
      <c r="G67" s="332"/>
      <c r="H67" s="332"/>
      <c r="I67" s="332"/>
      <c r="J67" s="332"/>
      <c r="K67" s="332"/>
      <c r="L67" s="332"/>
      <c r="M67" s="332"/>
      <c r="N67" s="332"/>
      <c r="O67" s="332"/>
      <c r="P67" s="332"/>
      <c r="Q67" s="332"/>
      <c r="R67" s="333"/>
      <c r="S67" s="332"/>
      <c r="T67" s="332"/>
      <c r="U67" s="332"/>
      <c r="V67" s="332"/>
      <c r="W67" s="332"/>
      <c r="X67" s="332"/>
      <c r="Y67" s="332"/>
      <c r="Z67" s="332"/>
    </row>
    <row r="68" spans="2:26" s="312" customFormat="1">
      <c r="B68" s="332"/>
      <c r="C68" s="332"/>
      <c r="D68" s="332"/>
      <c r="E68" s="332"/>
      <c r="F68" s="332"/>
      <c r="G68" s="332"/>
      <c r="H68" s="332"/>
      <c r="I68" s="332"/>
      <c r="J68" s="332"/>
      <c r="K68" s="332"/>
      <c r="L68" s="332"/>
      <c r="M68" s="332"/>
      <c r="N68" s="332"/>
      <c r="O68" s="332"/>
      <c r="P68" s="332"/>
      <c r="Q68" s="332"/>
      <c r="R68" s="333"/>
      <c r="S68" s="332"/>
      <c r="T68" s="332"/>
      <c r="U68" s="332"/>
      <c r="V68" s="332"/>
      <c r="W68" s="332"/>
      <c r="X68" s="332"/>
      <c r="Y68" s="332"/>
      <c r="Z68" s="332"/>
    </row>
    <row r="69" spans="2:26" s="312" customFormat="1">
      <c r="B69" s="332"/>
      <c r="C69" s="332"/>
      <c r="D69" s="332"/>
      <c r="E69" s="332"/>
      <c r="F69" s="332"/>
      <c r="G69" s="332"/>
      <c r="H69" s="332"/>
      <c r="I69" s="332"/>
      <c r="J69" s="332"/>
      <c r="K69" s="332"/>
      <c r="L69" s="332"/>
      <c r="M69" s="332"/>
      <c r="N69" s="332"/>
      <c r="O69" s="332"/>
      <c r="P69" s="332"/>
      <c r="Q69" s="332"/>
      <c r="R69" s="333"/>
      <c r="S69" s="332"/>
      <c r="T69" s="332"/>
      <c r="U69" s="332"/>
      <c r="V69" s="332"/>
      <c r="W69" s="332"/>
      <c r="X69" s="332"/>
      <c r="Y69" s="332"/>
      <c r="Z69" s="332"/>
    </row>
    <row r="70" spans="2:26" s="312" customFormat="1">
      <c r="B70" s="332"/>
      <c r="C70" s="332"/>
      <c r="D70" s="332"/>
      <c r="E70" s="332"/>
      <c r="F70" s="332"/>
      <c r="G70" s="332"/>
      <c r="H70" s="332"/>
      <c r="I70" s="332"/>
      <c r="J70" s="332"/>
      <c r="K70" s="332"/>
      <c r="L70" s="332"/>
      <c r="M70" s="332"/>
      <c r="N70" s="332"/>
      <c r="O70" s="332"/>
      <c r="P70" s="332"/>
      <c r="Q70" s="332"/>
      <c r="R70" s="333"/>
      <c r="S70" s="332"/>
      <c r="T70" s="332"/>
      <c r="U70" s="332"/>
      <c r="V70" s="332"/>
      <c r="W70" s="332"/>
      <c r="X70" s="332"/>
      <c r="Y70" s="332"/>
      <c r="Z70" s="332"/>
    </row>
    <row r="71" spans="2:26" s="312" customFormat="1">
      <c r="R71" s="333"/>
    </row>
  </sheetData>
  <sheetProtection sheet="1"/>
  <mergeCells count="11">
    <mergeCell ref="F19:G19"/>
    <mergeCell ref="F20:G20"/>
    <mergeCell ref="F21:G21"/>
    <mergeCell ref="F16:G16"/>
    <mergeCell ref="C13:C14"/>
    <mergeCell ref="E13:E14"/>
    <mergeCell ref="K13:M13"/>
    <mergeCell ref="F14:G14"/>
    <mergeCell ref="F15:G15"/>
    <mergeCell ref="F17:G17"/>
    <mergeCell ref="F18:G18"/>
  </mergeCells>
  <dataValidations count="3">
    <dataValidation type="list" allowBlank="1" showInputMessage="1" showErrorMessage="1" sqref="B26:B30">
      <formula1>$R$27:$R$34</formula1>
    </dataValidation>
    <dataValidation type="list" allowBlank="1" showInputMessage="1" showErrorMessage="1" sqref="E15:E21">
      <formula1>$J$15:$J$17</formula1>
    </dataValidation>
    <dataValidation type="list" allowBlank="1" showInputMessage="1" showErrorMessage="1" sqref="B15:B21">
      <formula1>$R$15:$R$24</formula1>
    </dataValidation>
  </dataValidations>
  <printOptions horizontalCentered="1"/>
  <pageMargins left="0.25" right="0.25"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dimension ref="A1:Z226"/>
  <sheetViews>
    <sheetView workbookViewId="0">
      <selection activeCell="B1" sqref="B1"/>
    </sheetView>
  </sheetViews>
  <sheetFormatPr defaultRowHeight="12.75"/>
  <cols>
    <col min="1" max="1" width="43.28515625" style="312" customWidth="1"/>
    <col min="2" max="2" width="26.7109375" style="116" customWidth="1"/>
    <col min="3" max="3" width="10.5703125" style="84" customWidth="1"/>
    <col min="4" max="4" width="7.42578125" style="84" customWidth="1"/>
    <col min="5" max="5" width="11.42578125" style="84" customWidth="1"/>
    <col min="6" max="6" width="10.5703125" style="84" customWidth="1"/>
    <col min="7" max="7" width="9.140625" style="84"/>
    <col min="8" max="8" width="10.28515625" style="84" customWidth="1"/>
    <col min="9" max="9" width="4.42578125" style="312" customWidth="1"/>
    <col min="10" max="10" width="21.42578125" style="312" customWidth="1"/>
    <col min="11" max="13" width="10.5703125" style="312" customWidth="1"/>
    <col min="14" max="17" width="9.140625" style="312"/>
    <col min="18" max="18" width="9.140625" style="333"/>
    <col min="19" max="25" width="9.140625" style="312"/>
    <col min="26" max="16384" width="9.140625" style="84"/>
  </cols>
  <sheetData>
    <row r="1" spans="1:26" ht="18.75" thickBot="1">
      <c r="B1" s="118" t="s">
        <v>153</v>
      </c>
      <c r="D1" s="196" t="str">
        <f>IF(Inputs!F6="No",CONCATENATE("(",Inputs!F4+Inputs!F5," ewe lambs)"),"NA")</f>
        <v>NA</v>
      </c>
      <c r="E1" s="196"/>
      <c r="F1" s="196"/>
      <c r="G1" s="196"/>
      <c r="H1" s="196"/>
      <c r="I1" s="332"/>
      <c r="J1" s="332"/>
      <c r="K1" s="332"/>
      <c r="L1" s="332"/>
      <c r="M1" s="332"/>
      <c r="N1" s="332"/>
      <c r="O1" s="332"/>
      <c r="P1" s="332"/>
      <c r="Q1" s="332"/>
      <c r="S1" s="332"/>
      <c r="T1" s="332"/>
      <c r="U1" s="332"/>
      <c r="V1" s="332"/>
      <c r="W1" s="332"/>
      <c r="X1" s="332"/>
      <c r="Y1" s="332"/>
      <c r="Z1" s="205"/>
    </row>
    <row r="2" spans="1:26" ht="27" thickBot="1">
      <c r="B2" s="121" t="s">
        <v>44</v>
      </c>
      <c r="C2" s="221"/>
      <c r="D2" s="222"/>
      <c r="E2" s="222"/>
      <c r="F2" s="222"/>
      <c r="G2" s="222"/>
      <c r="H2" s="239" t="s">
        <v>137</v>
      </c>
      <c r="I2" s="332"/>
      <c r="J2" s="332"/>
      <c r="K2" s="332"/>
      <c r="L2" s="332"/>
      <c r="M2" s="332"/>
      <c r="N2" s="332"/>
      <c r="O2" s="332"/>
      <c r="P2" s="332"/>
      <c r="Q2" s="332"/>
      <c r="S2" s="332"/>
      <c r="T2" s="332"/>
      <c r="U2" s="332"/>
      <c r="V2" s="332"/>
      <c r="W2" s="332"/>
      <c r="X2" s="332"/>
      <c r="Y2" s="332"/>
      <c r="Z2" s="205"/>
    </row>
    <row r="3" spans="1:26" s="116" customFormat="1" ht="12.75" customHeight="1">
      <c r="A3" s="312"/>
      <c r="B3" s="92"/>
      <c r="C3" s="386" t="s">
        <v>132</v>
      </c>
      <c r="D3" s="220"/>
      <c r="E3" s="388" t="s">
        <v>133</v>
      </c>
      <c r="F3" s="93"/>
      <c r="G3" s="93"/>
      <c r="H3" s="241"/>
      <c r="I3" s="332"/>
      <c r="J3" s="334"/>
      <c r="K3" s="385"/>
      <c r="L3" s="385"/>
      <c r="M3" s="385"/>
      <c r="N3" s="332"/>
      <c r="O3" s="336"/>
      <c r="P3" s="336"/>
      <c r="Q3" s="332"/>
      <c r="R3" s="335" t="s">
        <v>134</v>
      </c>
      <c r="S3" s="336"/>
      <c r="T3" s="336"/>
      <c r="U3" s="336"/>
      <c r="V3" s="336"/>
      <c r="W3" s="336"/>
      <c r="X3" s="336">
        <v>1</v>
      </c>
      <c r="Y3" s="336"/>
      <c r="Z3" s="205"/>
    </row>
    <row r="4" spans="1:26" s="116" customFormat="1" ht="14.25" customHeight="1">
      <c r="A4" s="312"/>
      <c r="B4" s="134" t="s">
        <v>154</v>
      </c>
      <c r="C4" s="387"/>
      <c r="D4" s="220"/>
      <c r="E4" s="388"/>
      <c r="F4" s="389" t="s">
        <v>6</v>
      </c>
      <c r="G4" s="389"/>
      <c r="H4" s="242"/>
      <c r="I4" s="312"/>
      <c r="J4" s="337"/>
      <c r="K4" s="319"/>
      <c r="L4" s="319"/>
      <c r="M4" s="319"/>
      <c r="N4" s="338"/>
      <c r="O4" s="336"/>
      <c r="P4" s="336"/>
      <c r="Q4" s="332"/>
      <c r="R4" s="333"/>
      <c r="S4" s="336"/>
      <c r="T4" s="336"/>
      <c r="U4" s="336"/>
      <c r="V4" s="336"/>
      <c r="W4" s="336"/>
      <c r="X4" s="336"/>
      <c r="Y4" s="336"/>
      <c r="Z4" s="205"/>
    </row>
    <row r="5" spans="1:26" ht="12.75" customHeight="1">
      <c r="B5" s="361"/>
      <c r="C5" s="365"/>
      <c r="D5" s="153" t="str">
        <f t="shared" ref="D5:D11" si="0">IF(B5="","",CONCATENATE(VLOOKUP(B5,Feed,4,FALSE),"s"))</f>
        <v/>
      </c>
      <c r="E5" s="369"/>
      <c r="F5" s="381" t="str">
        <f t="shared" ref="F5:F11" si="1">IF(B5="","",CONCATENATE("@ ",TEXT(VLOOKUP($B5,Feed,6,FALSE),"0.00")," per ",VLOOKUP(B5,Feed,4,FALSE)))</f>
        <v/>
      </c>
      <c r="G5" s="382"/>
      <c r="H5" s="298">
        <f>IF($D$1="NA",0,IF(B5=0,"",IF(E5="","",C5*VLOOKUP(B5,Feed,6,FALSE)*IF(E5="total",1,Inputs!$F$10))))</f>
        <v>0</v>
      </c>
      <c r="J5" s="342" t="s">
        <v>128</v>
      </c>
      <c r="K5" s="328"/>
      <c r="L5" s="317"/>
      <c r="M5" s="317"/>
      <c r="N5" s="334"/>
      <c r="O5" s="334"/>
      <c r="P5" s="339">
        <f t="shared" ref="P5:P11" si="2">K5+L5+M5</f>
        <v>0</v>
      </c>
      <c r="Q5" s="332"/>
      <c r="R5" s="335" t="str">
        <f>IF(Inputs!B32="","",Inputs!B32)</f>
        <v>Grass Hay</v>
      </c>
      <c r="S5" s="332"/>
      <c r="T5" s="332"/>
      <c r="U5" s="332"/>
      <c r="V5" s="332"/>
      <c r="W5" s="332"/>
      <c r="X5" s="332">
        <v>2</v>
      </c>
      <c r="Y5" s="332"/>
      <c r="Z5" s="205"/>
    </row>
    <row r="6" spans="1:26" ht="14.25" customHeight="1">
      <c r="B6" s="361"/>
      <c r="C6" s="365"/>
      <c r="D6" s="153" t="str">
        <f t="shared" si="0"/>
        <v/>
      </c>
      <c r="E6" s="369"/>
      <c r="F6" s="381" t="str">
        <f t="shared" si="1"/>
        <v/>
      </c>
      <c r="G6" s="382"/>
      <c r="H6" s="298">
        <f>IF($D$1="NA",0,IF(B6=0,"",IF(E6="","",C6*VLOOKUP(B6,Feed,6,FALSE)*IF(E6="total",1,Inputs!$F$10))))</f>
        <v>0</v>
      </c>
      <c r="J6" s="342" t="s">
        <v>134</v>
      </c>
      <c r="K6" s="328"/>
      <c r="L6" s="317"/>
      <c r="M6" s="317"/>
      <c r="N6" s="334"/>
      <c r="O6" s="334"/>
      <c r="P6" s="339">
        <f t="shared" si="2"/>
        <v>0</v>
      </c>
      <c r="Q6" s="332"/>
      <c r="R6" s="335" t="str">
        <f>IF(Inputs!B33="","",Inputs!B33)</f>
        <v>Alfalfa Hay</v>
      </c>
      <c r="S6" s="332"/>
      <c r="T6" s="332"/>
      <c r="U6" s="332"/>
      <c r="V6" s="332"/>
      <c r="W6" s="332"/>
      <c r="X6" s="332">
        <v>3</v>
      </c>
      <c r="Y6" s="332"/>
      <c r="Z6" s="205"/>
    </row>
    <row r="7" spans="1:26">
      <c r="B7" s="361"/>
      <c r="C7" s="365"/>
      <c r="D7" s="153" t="str">
        <f t="shared" si="0"/>
        <v/>
      </c>
      <c r="E7" s="369"/>
      <c r="F7" s="381" t="str">
        <f t="shared" si="1"/>
        <v/>
      </c>
      <c r="G7" s="382"/>
      <c r="H7" s="298">
        <f>IF($D$1="NA",0,IF(B7=0,"",IF(E7="","",C7*VLOOKUP(B7,Feed,6,FALSE)*IF(E7="total",1,Inputs!$F$10))))</f>
        <v>0</v>
      </c>
      <c r="J7" s="317"/>
      <c r="K7" s="328"/>
      <c r="L7" s="317"/>
      <c r="M7" s="317"/>
      <c r="N7" s="334"/>
      <c r="O7" s="334"/>
      <c r="P7" s="339">
        <f t="shared" si="2"/>
        <v>0</v>
      </c>
      <c r="Q7" s="332"/>
      <c r="R7" s="335" t="str">
        <f>IF(Inputs!B34="","",Inputs!B34)</f>
        <v>Modified Distillers Grains</v>
      </c>
      <c r="S7" s="332"/>
      <c r="T7" s="332"/>
      <c r="U7" s="332"/>
      <c r="V7" s="332"/>
      <c r="W7" s="332"/>
      <c r="X7" s="332">
        <v>4</v>
      </c>
      <c r="Y7" s="332"/>
      <c r="Z7" s="205"/>
    </row>
    <row r="8" spans="1:26">
      <c r="B8" s="361"/>
      <c r="C8" s="365"/>
      <c r="D8" s="153" t="str">
        <f t="shared" si="0"/>
        <v/>
      </c>
      <c r="E8" s="369"/>
      <c r="F8" s="381" t="str">
        <f t="shared" si="1"/>
        <v/>
      </c>
      <c r="G8" s="382"/>
      <c r="H8" s="298">
        <f>IF($D$1="NA",0,IF(B8=0,"",IF(E8="","",C8*VLOOKUP(B8,Feed,6,FALSE)*IF(E8="total",1,Inputs!$F$10))))</f>
        <v>0</v>
      </c>
      <c r="J8" s="317"/>
      <c r="K8" s="328"/>
      <c r="L8" s="317"/>
      <c r="M8" s="317"/>
      <c r="N8" s="334"/>
      <c r="O8" s="334"/>
      <c r="P8" s="339">
        <f t="shared" si="2"/>
        <v>0</v>
      </c>
      <c r="Q8" s="332"/>
      <c r="R8" s="335" t="str">
        <f>IF(Inputs!B35="","",Inputs!B35)</f>
        <v>Mineral</v>
      </c>
      <c r="S8" s="332"/>
      <c r="T8" s="332"/>
      <c r="U8" s="332"/>
      <c r="V8" s="332"/>
      <c r="W8" s="332"/>
      <c r="X8" s="332">
        <v>5</v>
      </c>
      <c r="Y8" s="332"/>
      <c r="Z8" s="205"/>
    </row>
    <row r="9" spans="1:26">
      <c r="B9" s="361"/>
      <c r="C9" s="365"/>
      <c r="D9" s="153" t="str">
        <f t="shared" si="0"/>
        <v/>
      </c>
      <c r="E9" s="369"/>
      <c r="F9" s="381" t="str">
        <f t="shared" si="1"/>
        <v/>
      </c>
      <c r="G9" s="382"/>
      <c r="H9" s="298">
        <f>IF($D$1="NA",0,IF(B9=0,"",IF(E9="","",C9*VLOOKUP(B9,Feed,6,FALSE)*IF(E9="total",1,Inputs!$F$10))))</f>
        <v>0</v>
      </c>
      <c r="J9" s="317"/>
      <c r="K9" s="328"/>
      <c r="L9" s="317"/>
      <c r="M9" s="317"/>
      <c r="N9" s="334"/>
      <c r="O9" s="334"/>
      <c r="P9" s="339">
        <f t="shared" si="2"/>
        <v>0</v>
      </c>
      <c r="Q9" s="332"/>
      <c r="R9" s="335" t="str">
        <f>IF(Inputs!B36="","",Inputs!B36)</f>
        <v/>
      </c>
      <c r="S9" s="332"/>
      <c r="T9" s="332"/>
      <c r="U9" s="332"/>
      <c r="V9" s="332"/>
      <c r="W9" s="332"/>
      <c r="X9" s="332">
        <v>6</v>
      </c>
      <c r="Y9" s="332"/>
      <c r="Z9" s="205"/>
    </row>
    <row r="10" spans="1:26">
      <c r="B10" s="361"/>
      <c r="C10" s="365"/>
      <c r="D10" s="153" t="str">
        <f t="shared" si="0"/>
        <v/>
      </c>
      <c r="E10" s="369"/>
      <c r="F10" s="381" t="str">
        <f t="shared" si="1"/>
        <v/>
      </c>
      <c r="G10" s="382"/>
      <c r="H10" s="298">
        <f>IF($D$1="NA",0,IF(B10=0,"",IF(E10="","",C10*VLOOKUP(B10,Feed,6,FALSE)*IF(E10="total",1,Inputs!$F$10))))</f>
        <v>0</v>
      </c>
      <c r="J10" s="317"/>
      <c r="K10" s="328"/>
      <c r="L10" s="317"/>
      <c r="M10" s="317"/>
      <c r="N10" s="334"/>
      <c r="O10" s="334"/>
      <c r="P10" s="339">
        <f t="shared" si="2"/>
        <v>0</v>
      </c>
      <c r="Q10" s="332"/>
      <c r="R10" s="335" t="str">
        <f>IF(Inputs!B37="","",Inputs!B37)</f>
        <v/>
      </c>
      <c r="S10" s="332"/>
      <c r="T10" s="332"/>
      <c r="U10" s="332"/>
      <c r="V10" s="332"/>
      <c r="W10" s="332"/>
      <c r="X10" s="332">
        <v>7</v>
      </c>
      <c r="Y10" s="332"/>
      <c r="Z10" s="205"/>
    </row>
    <row r="11" spans="1:26" ht="13.5" thickBot="1">
      <c r="B11" s="361"/>
      <c r="C11" s="365"/>
      <c r="D11" s="153" t="str">
        <f t="shared" si="0"/>
        <v/>
      </c>
      <c r="E11" s="369"/>
      <c r="F11" s="381" t="str">
        <f t="shared" si="1"/>
        <v/>
      </c>
      <c r="G11" s="382"/>
      <c r="H11" s="298">
        <f>IF($D$1="NA",0,IF(B11=0,"",IF(E11="","",C11*VLOOKUP(B11,Feed,6,FALSE)*IF(E11="total",1,Inputs!$F$10))))</f>
        <v>0</v>
      </c>
      <c r="J11" s="317"/>
      <c r="K11" s="328"/>
      <c r="L11" s="317"/>
      <c r="M11" s="317"/>
      <c r="N11" s="334" t="str">
        <f>IF(B11="","",VLOOKUP(B11,Feed,4,FALSE))</f>
        <v/>
      </c>
      <c r="O11" s="334" t="str">
        <f>IF($B11="","",VLOOKUP($B11,Feed,5,FALSE))</f>
        <v/>
      </c>
      <c r="P11" s="339">
        <f t="shared" si="2"/>
        <v>0</v>
      </c>
      <c r="Q11" s="332"/>
      <c r="R11" s="335" t="str">
        <f>IF(Inputs!B38="","",Inputs!B38)</f>
        <v/>
      </c>
      <c r="S11" s="332"/>
      <c r="T11" s="332"/>
      <c r="U11" s="332"/>
      <c r="V11" s="332"/>
      <c r="W11" s="332"/>
      <c r="X11" s="332">
        <v>8</v>
      </c>
      <c r="Y11" s="332"/>
      <c r="Z11" s="205"/>
    </row>
    <row r="12" spans="1:26" ht="16.5" thickBot="1">
      <c r="B12" s="121"/>
      <c r="C12" s="81"/>
      <c r="D12" s="81"/>
      <c r="E12" s="81"/>
      <c r="F12" s="81"/>
      <c r="G12" s="62" t="s">
        <v>49</v>
      </c>
      <c r="H12" s="247">
        <f>SUM(H5:H11)</f>
        <v>0</v>
      </c>
      <c r="I12" s="332"/>
      <c r="J12" s="332"/>
      <c r="K12" s="332"/>
      <c r="L12" s="332"/>
      <c r="M12" s="332"/>
      <c r="N12" s="332"/>
      <c r="O12" s="332"/>
      <c r="P12" s="332"/>
      <c r="Q12" s="332"/>
      <c r="R12" s="335" t="str">
        <f>IF(Inputs!B39="","",Inputs!B39)</f>
        <v/>
      </c>
      <c r="S12" s="332"/>
      <c r="T12" s="332"/>
      <c r="U12" s="332"/>
      <c r="V12" s="332"/>
      <c r="W12" s="332"/>
      <c r="X12" s="332"/>
      <c r="Y12" s="332"/>
      <c r="Z12" s="205"/>
    </row>
    <row r="13" spans="1:26" s="312" customFormat="1">
      <c r="B13" s="334"/>
      <c r="C13" s="334"/>
      <c r="D13" s="334"/>
      <c r="E13" s="334"/>
      <c r="F13" s="334"/>
      <c r="G13" s="334"/>
      <c r="H13" s="332"/>
      <c r="I13" s="332"/>
      <c r="J13" s="332"/>
      <c r="K13" s="332"/>
      <c r="L13" s="332"/>
      <c r="M13" s="332"/>
      <c r="N13" s="332"/>
      <c r="O13" s="332"/>
      <c r="P13" s="332"/>
      <c r="Q13" s="332"/>
      <c r="R13" s="333" t="str">
        <f>IF(Inputs!B59="","",Inputs!B59)</f>
        <v/>
      </c>
      <c r="S13" s="332"/>
      <c r="T13" s="332"/>
      <c r="U13" s="332"/>
      <c r="V13" s="332"/>
      <c r="W13" s="332"/>
      <c r="X13" s="332"/>
      <c r="Y13" s="332"/>
      <c r="Z13" s="332"/>
    </row>
    <row r="14" spans="1:26" s="312" customFormat="1">
      <c r="B14" s="334"/>
      <c r="C14" s="334"/>
      <c r="D14" s="334"/>
      <c r="E14" s="334"/>
      <c r="F14" s="334"/>
      <c r="G14" s="334"/>
      <c r="H14" s="332"/>
      <c r="I14" s="332"/>
      <c r="J14" s="332"/>
      <c r="K14" s="332"/>
      <c r="L14" s="332"/>
      <c r="M14" s="332"/>
      <c r="N14" s="332"/>
      <c r="O14" s="332"/>
      <c r="P14" s="332"/>
      <c r="Q14" s="332"/>
      <c r="R14" s="333"/>
      <c r="S14" s="332"/>
      <c r="T14" s="332"/>
      <c r="U14" s="332"/>
      <c r="V14" s="332"/>
      <c r="W14" s="332"/>
      <c r="X14" s="332"/>
      <c r="Y14" s="332"/>
      <c r="Z14" s="332"/>
    </row>
    <row r="15" spans="1:26" s="312" customFormat="1">
      <c r="B15" s="332" t="s">
        <v>12</v>
      </c>
      <c r="C15" s="332"/>
      <c r="D15" s="332"/>
      <c r="E15" s="332"/>
      <c r="F15" s="332"/>
      <c r="G15" s="332"/>
      <c r="H15" s="332"/>
      <c r="I15" s="332"/>
      <c r="J15" s="332"/>
      <c r="K15" s="332"/>
      <c r="L15" s="332"/>
      <c r="M15" s="332"/>
      <c r="N15" s="332"/>
      <c r="O15" s="332"/>
      <c r="P15" s="332"/>
      <c r="Q15" s="332"/>
      <c r="R15" s="333"/>
      <c r="S15" s="332"/>
      <c r="T15" s="332"/>
      <c r="U15" s="332"/>
      <c r="V15" s="332"/>
      <c r="W15" s="332"/>
      <c r="X15" s="332"/>
      <c r="Y15" s="332"/>
      <c r="Z15" s="332"/>
    </row>
    <row r="16" spans="1:26" s="312" customFormat="1">
      <c r="B16" s="332" t="s">
        <v>12</v>
      </c>
      <c r="C16" s="332"/>
      <c r="D16" s="332"/>
      <c r="E16" s="332"/>
      <c r="F16" s="332"/>
      <c r="G16" s="332"/>
      <c r="H16" s="332"/>
      <c r="I16" s="332"/>
      <c r="J16" s="332"/>
      <c r="K16" s="332"/>
      <c r="L16" s="332"/>
      <c r="M16" s="332"/>
      <c r="N16" s="332"/>
      <c r="O16" s="332"/>
      <c r="P16" s="332"/>
      <c r="Q16" s="332"/>
      <c r="R16" s="333"/>
      <c r="S16" s="332"/>
      <c r="T16" s="332"/>
      <c r="U16" s="332"/>
      <c r="V16" s="332"/>
      <c r="W16" s="332"/>
      <c r="X16" s="332"/>
      <c r="Y16" s="332"/>
      <c r="Z16" s="332"/>
    </row>
    <row r="17" spans="2:26" s="312" customFormat="1">
      <c r="B17" s="332" t="s">
        <v>12</v>
      </c>
      <c r="C17" s="332"/>
      <c r="D17" s="332"/>
      <c r="E17" s="332"/>
      <c r="F17" s="332"/>
      <c r="G17" s="332"/>
      <c r="H17" s="332"/>
      <c r="I17" s="332"/>
      <c r="J17" s="332"/>
      <c r="K17" s="332"/>
      <c r="L17" s="332"/>
      <c r="M17" s="332"/>
      <c r="N17" s="332"/>
      <c r="O17" s="332"/>
      <c r="P17" s="332"/>
      <c r="Q17" s="332"/>
      <c r="R17" s="333"/>
      <c r="S17" s="332"/>
      <c r="T17" s="332"/>
      <c r="U17" s="332"/>
      <c r="V17" s="332"/>
      <c r="W17" s="332"/>
      <c r="X17" s="332"/>
      <c r="Y17" s="332"/>
      <c r="Z17" s="332"/>
    </row>
    <row r="18" spans="2:26" s="312" customFormat="1">
      <c r="B18" s="332" t="s">
        <v>12</v>
      </c>
      <c r="C18" s="332"/>
      <c r="D18" s="332"/>
      <c r="E18" s="332"/>
      <c r="F18" s="332"/>
      <c r="G18" s="332"/>
      <c r="H18" s="332"/>
      <c r="I18" s="332"/>
      <c r="J18" s="332"/>
      <c r="K18" s="332"/>
      <c r="L18" s="332"/>
      <c r="M18" s="332"/>
      <c r="N18" s="332"/>
      <c r="O18" s="332"/>
      <c r="P18" s="332"/>
      <c r="Q18" s="332"/>
      <c r="R18" s="333"/>
      <c r="S18" s="332"/>
      <c r="T18" s="332"/>
      <c r="U18" s="332"/>
      <c r="V18" s="332"/>
      <c r="W18" s="332"/>
      <c r="X18" s="332"/>
      <c r="Y18" s="332"/>
      <c r="Z18" s="332"/>
    </row>
    <row r="19" spans="2:26" s="312" customFormat="1">
      <c r="B19" s="332"/>
      <c r="C19" s="332"/>
      <c r="D19" s="332"/>
      <c r="E19" s="332"/>
      <c r="F19" s="332"/>
      <c r="G19" s="332"/>
      <c r="H19" s="332"/>
      <c r="I19" s="332"/>
      <c r="J19" s="332"/>
      <c r="K19" s="332"/>
      <c r="L19" s="332"/>
      <c r="M19" s="332"/>
      <c r="N19" s="332"/>
      <c r="O19" s="332"/>
      <c r="P19" s="332"/>
      <c r="Q19" s="332"/>
      <c r="R19" s="333"/>
      <c r="S19" s="332"/>
      <c r="T19" s="332"/>
      <c r="U19" s="332"/>
      <c r="V19" s="332"/>
      <c r="W19" s="332"/>
      <c r="X19" s="332"/>
      <c r="Y19" s="332"/>
      <c r="Z19" s="332"/>
    </row>
    <row r="20" spans="2:26" s="312" customFormat="1">
      <c r="B20" s="332"/>
      <c r="C20" s="332"/>
      <c r="D20" s="332"/>
      <c r="E20" s="332"/>
      <c r="F20" s="332"/>
      <c r="G20" s="332"/>
      <c r="H20" s="332"/>
      <c r="I20" s="332"/>
      <c r="J20" s="332"/>
      <c r="K20" s="332"/>
      <c r="L20" s="332"/>
      <c r="M20" s="332"/>
      <c r="N20" s="332"/>
      <c r="O20" s="332"/>
      <c r="P20" s="332"/>
      <c r="Q20" s="332"/>
      <c r="R20" s="333"/>
      <c r="S20" s="332"/>
      <c r="T20" s="332"/>
      <c r="U20" s="332"/>
      <c r="V20" s="332"/>
      <c r="W20" s="332"/>
      <c r="X20" s="332"/>
      <c r="Y20" s="332"/>
      <c r="Z20" s="332"/>
    </row>
    <row r="21" spans="2:26" s="312" customFormat="1">
      <c r="B21" s="332"/>
      <c r="C21" s="332"/>
      <c r="D21" s="332"/>
      <c r="E21" s="332"/>
      <c r="F21" s="332"/>
      <c r="G21" s="332"/>
      <c r="H21" s="332"/>
      <c r="I21" s="332"/>
      <c r="J21" s="332"/>
      <c r="K21" s="332"/>
      <c r="L21" s="332"/>
      <c r="M21" s="332"/>
      <c r="N21" s="332"/>
      <c r="O21" s="332"/>
      <c r="P21" s="332"/>
      <c r="Q21" s="332"/>
      <c r="R21" s="333"/>
      <c r="S21" s="332"/>
      <c r="T21" s="332"/>
      <c r="U21" s="332"/>
      <c r="V21" s="332"/>
      <c r="W21" s="332"/>
      <c r="X21" s="332"/>
      <c r="Y21" s="332"/>
      <c r="Z21" s="332"/>
    </row>
    <row r="22" spans="2:26" s="312" customFormat="1">
      <c r="B22" s="332"/>
      <c r="C22" s="332"/>
      <c r="D22" s="332"/>
      <c r="E22" s="332"/>
      <c r="F22" s="332"/>
      <c r="G22" s="332"/>
      <c r="H22" s="332"/>
      <c r="I22" s="332"/>
      <c r="J22" s="332"/>
      <c r="K22" s="332"/>
      <c r="L22" s="332"/>
      <c r="M22" s="332"/>
      <c r="N22" s="332"/>
      <c r="O22" s="332"/>
      <c r="P22" s="332"/>
      <c r="Q22" s="332"/>
      <c r="R22" s="333"/>
      <c r="S22" s="332"/>
      <c r="T22" s="332"/>
      <c r="U22" s="332"/>
      <c r="V22" s="332"/>
      <c r="W22" s="332"/>
      <c r="X22" s="332"/>
      <c r="Y22" s="332"/>
      <c r="Z22" s="332"/>
    </row>
    <row r="23" spans="2:26" s="312" customFormat="1">
      <c r="B23" s="332"/>
      <c r="C23" s="332"/>
      <c r="D23" s="332"/>
      <c r="E23" s="332"/>
      <c r="F23" s="332"/>
      <c r="G23" s="332"/>
      <c r="H23" s="332"/>
      <c r="I23" s="332"/>
      <c r="J23" s="332"/>
      <c r="K23" s="332"/>
      <c r="L23" s="332"/>
      <c r="M23" s="332"/>
      <c r="N23" s="332"/>
      <c r="O23" s="332"/>
      <c r="P23" s="332"/>
      <c r="Q23" s="332"/>
      <c r="R23" s="333"/>
      <c r="S23" s="332"/>
      <c r="T23" s="332"/>
      <c r="U23" s="332"/>
      <c r="V23" s="332"/>
      <c r="W23" s="332"/>
      <c r="X23" s="332"/>
      <c r="Y23" s="332"/>
      <c r="Z23" s="332"/>
    </row>
    <row r="24" spans="2:26" s="312" customFormat="1">
      <c r="B24" s="332"/>
      <c r="C24" s="332"/>
      <c r="D24" s="332"/>
      <c r="E24" s="332"/>
      <c r="F24" s="332"/>
      <c r="G24" s="332"/>
      <c r="H24" s="332"/>
      <c r="I24" s="332"/>
      <c r="J24" s="332"/>
      <c r="K24" s="332"/>
      <c r="L24" s="332"/>
      <c r="M24" s="332"/>
      <c r="N24" s="332"/>
      <c r="O24" s="332"/>
      <c r="P24" s="332"/>
      <c r="Q24" s="332"/>
      <c r="R24" s="333"/>
      <c r="S24" s="332"/>
      <c r="T24" s="332"/>
      <c r="U24" s="332"/>
      <c r="V24" s="332"/>
      <c r="W24" s="332"/>
      <c r="X24" s="332"/>
      <c r="Y24" s="332"/>
      <c r="Z24" s="332"/>
    </row>
    <row r="25" spans="2:26" s="312" customFormat="1">
      <c r="B25" s="332"/>
      <c r="C25" s="332"/>
      <c r="D25" s="332"/>
      <c r="E25" s="332"/>
      <c r="F25" s="332"/>
      <c r="G25" s="332"/>
      <c r="H25" s="332"/>
      <c r="I25" s="332"/>
      <c r="J25" s="332"/>
      <c r="K25" s="332"/>
      <c r="L25" s="332"/>
      <c r="M25" s="332"/>
      <c r="N25" s="332"/>
      <c r="O25" s="332"/>
      <c r="P25" s="332"/>
      <c r="Q25" s="332"/>
      <c r="R25" s="333"/>
      <c r="S25" s="332"/>
      <c r="T25" s="332"/>
      <c r="U25" s="332"/>
      <c r="V25" s="332"/>
      <c r="W25" s="332"/>
      <c r="X25" s="332"/>
      <c r="Y25" s="332"/>
      <c r="Z25" s="332"/>
    </row>
    <row r="26" spans="2:26" s="312" customFormat="1">
      <c r="B26" s="332"/>
      <c r="C26" s="332"/>
      <c r="D26" s="332"/>
      <c r="E26" s="332"/>
      <c r="F26" s="332"/>
      <c r="G26" s="332"/>
      <c r="H26" s="332"/>
      <c r="I26" s="332"/>
      <c r="J26" s="332"/>
      <c r="K26" s="332"/>
      <c r="L26" s="332"/>
      <c r="M26" s="332"/>
      <c r="N26" s="332"/>
      <c r="O26" s="332"/>
      <c r="P26" s="332"/>
      <c r="Q26" s="332"/>
      <c r="R26" s="333"/>
      <c r="S26" s="332"/>
      <c r="T26" s="332"/>
      <c r="U26" s="332"/>
      <c r="V26" s="332"/>
      <c r="W26" s="332"/>
      <c r="X26" s="332"/>
      <c r="Y26" s="332"/>
      <c r="Z26" s="332"/>
    </row>
    <row r="27" spans="2:26" s="312" customFormat="1">
      <c r="B27" s="332"/>
      <c r="C27" s="332"/>
      <c r="D27" s="332"/>
      <c r="E27" s="332"/>
      <c r="F27" s="332"/>
      <c r="G27" s="332"/>
      <c r="H27" s="332"/>
      <c r="I27" s="332"/>
      <c r="J27" s="332"/>
      <c r="K27" s="332"/>
      <c r="L27" s="332"/>
      <c r="M27" s="332"/>
      <c r="N27" s="332"/>
      <c r="O27" s="332"/>
      <c r="P27" s="332"/>
      <c r="Q27" s="332"/>
      <c r="R27" s="333"/>
      <c r="S27" s="332"/>
      <c r="T27" s="332"/>
      <c r="U27" s="332"/>
      <c r="V27" s="332"/>
      <c r="W27" s="332"/>
      <c r="X27" s="332"/>
      <c r="Y27" s="332"/>
      <c r="Z27" s="332"/>
    </row>
    <row r="28" spans="2:26" s="312" customFormat="1">
      <c r="B28" s="332"/>
      <c r="C28" s="332"/>
      <c r="D28" s="332"/>
      <c r="E28" s="332"/>
      <c r="F28" s="332"/>
      <c r="G28" s="332"/>
      <c r="H28" s="332"/>
      <c r="I28" s="332"/>
      <c r="J28" s="332"/>
      <c r="K28" s="332"/>
      <c r="L28" s="332"/>
      <c r="M28" s="332"/>
      <c r="N28" s="332"/>
      <c r="O28" s="332"/>
      <c r="P28" s="332"/>
      <c r="Q28" s="332"/>
      <c r="R28" s="333"/>
      <c r="S28" s="332"/>
      <c r="T28" s="332"/>
      <c r="U28" s="332"/>
      <c r="V28" s="332"/>
      <c r="W28" s="332"/>
      <c r="X28" s="332"/>
      <c r="Y28" s="332"/>
      <c r="Z28" s="332"/>
    </row>
    <row r="29" spans="2:26" s="312" customFormat="1">
      <c r="B29" s="332"/>
      <c r="C29" s="332"/>
      <c r="D29" s="332"/>
      <c r="E29" s="332"/>
      <c r="F29" s="332"/>
      <c r="G29" s="332"/>
      <c r="H29" s="332"/>
      <c r="I29" s="332"/>
      <c r="J29" s="332"/>
      <c r="K29" s="332"/>
      <c r="L29" s="332"/>
      <c r="M29" s="332"/>
      <c r="N29" s="332"/>
      <c r="O29" s="332"/>
      <c r="P29" s="332"/>
      <c r="Q29" s="332"/>
      <c r="R29" s="333"/>
      <c r="S29" s="332"/>
      <c r="T29" s="332"/>
      <c r="U29" s="332"/>
      <c r="V29" s="332"/>
      <c r="W29" s="332"/>
      <c r="X29" s="332"/>
      <c r="Y29" s="332"/>
      <c r="Z29" s="332"/>
    </row>
    <row r="30" spans="2:26" s="312" customFormat="1">
      <c r="B30" s="332"/>
      <c r="C30" s="332"/>
      <c r="D30" s="332"/>
      <c r="E30" s="332"/>
      <c r="F30" s="332"/>
      <c r="G30" s="332"/>
      <c r="H30" s="332"/>
      <c r="I30" s="332"/>
      <c r="J30" s="332"/>
      <c r="K30" s="332"/>
      <c r="L30" s="332"/>
      <c r="M30" s="332"/>
      <c r="N30" s="332"/>
      <c r="O30" s="332"/>
      <c r="P30" s="332"/>
      <c r="Q30" s="332"/>
      <c r="R30" s="333"/>
      <c r="S30" s="332"/>
      <c r="T30" s="332"/>
      <c r="U30" s="332"/>
      <c r="V30" s="332"/>
      <c r="W30" s="332"/>
      <c r="X30" s="332"/>
      <c r="Y30" s="332"/>
      <c r="Z30" s="332"/>
    </row>
    <row r="31" spans="2:26" s="312" customFormat="1">
      <c r="B31" s="332"/>
      <c r="C31" s="332"/>
      <c r="D31" s="332"/>
      <c r="E31" s="332"/>
      <c r="F31" s="332"/>
      <c r="G31" s="332"/>
      <c r="H31" s="332"/>
      <c r="I31" s="332"/>
      <c r="J31" s="332"/>
      <c r="K31" s="332"/>
      <c r="L31" s="332"/>
      <c r="M31" s="332"/>
      <c r="N31" s="332"/>
      <c r="O31" s="332"/>
      <c r="P31" s="332"/>
      <c r="Q31" s="332"/>
      <c r="R31" s="333"/>
      <c r="S31" s="332"/>
      <c r="T31" s="332"/>
      <c r="U31" s="332"/>
      <c r="V31" s="332"/>
      <c r="W31" s="332"/>
      <c r="X31" s="332"/>
      <c r="Y31" s="332"/>
      <c r="Z31" s="332"/>
    </row>
    <row r="32" spans="2:26" s="312" customFormat="1">
      <c r="B32" s="332"/>
      <c r="C32" s="332"/>
      <c r="D32" s="332"/>
      <c r="E32" s="332"/>
      <c r="F32" s="332"/>
      <c r="G32" s="332"/>
      <c r="H32" s="332"/>
      <c r="I32" s="332"/>
      <c r="J32" s="332"/>
      <c r="K32" s="332"/>
      <c r="L32" s="332"/>
      <c r="M32" s="332"/>
      <c r="N32" s="332"/>
      <c r="O32" s="332"/>
      <c r="P32" s="332"/>
      <c r="Q32" s="332"/>
      <c r="R32" s="333"/>
      <c r="S32" s="332"/>
      <c r="T32" s="332"/>
      <c r="U32" s="332"/>
      <c r="V32" s="332"/>
      <c r="W32" s="332"/>
      <c r="X32" s="332"/>
      <c r="Y32" s="332"/>
      <c r="Z32" s="332"/>
    </row>
    <row r="33" spans="2:26" s="312" customFormat="1">
      <c r="B33" s="332"/>
      <c r="C33" s="332"/>
      <c r="D33" s="332"/>
      <c r="E33" s="332"/>
      <c r="F33" s="332"/>
      <c r="G33" s="332"/>
      <c r="H33" s="332"/>
      <c r="I33" s="332"/>
      <c r="J33" s="332"/>
      <c r="K33" s="332"/>
      <c r="L33" s="332"/>
      <c r="M33" s="332"/>
      <c r="N33" s="332"/>
      <c r="O33" s="332"/>
      <c r="P33" s="332"/>
      <c r="Q33" s="332"/>
      <c r="R33" s="333"/>
      <c r="S33" s="332"/>
      <c r="T33" s="332"/>
      <c r="U33" s="332"/>
      <c r="V33" s="332"/>
      <c r="W33" s="332"/>
      <c r="X33" s="332"/>
      <c r="Y33" s="332"/>
      <c r="Z33" s="332"/>
    </row>
    <row r="34" spans="2:26" s="312" customFormat="1">
      <c r="B34" s="332"/>
      <c r="C34" s="332"/>
      <c r="D34" s="332"/>
      <c r="E34" s="332"/>
      <c r="F34" s="332"/>
      <c r="G34" s="332"/>
      <c r="H34" s="332"/>
      <c r="I34" s="332"/>
      <c r="J34" s="332"/>
      <c r="K34" s="332"/>
      <c r="L34" s="332"/>
      <c r="M34" s="332"/>
      <c r="N34" s="332"/>
      <c r="O34" s="332"/>
      <c r="P34" s="332"/>
      <c r="Q34" s="332"/>
      <c r="R34" s="333"/>
      <c r="S34" s="332"/>
      <c r="T34" s="332"/>
      <c r="U34" s="332"/>
      <c r="V34" s="332"/>
      <c r="W34" s="332"/>
      <c r="X34" s="332"/>
      <c r="Y34" s="332"/>
      <c r="Z34" s="332"/>
    </row>
    <row r="35" spans="2:26" s="312" customFormat="1">
      <c r="B35" s="332"/>
      <c r="C35" s="332"/>
      <c r="D35" s="332"/>
      <c r="E35" s="332"/>
      <c r="F35" s="332"/>
      <c r="G35" s="332"/>
      <c r="H35" s="332"/>
      <c r="I35" s="332"/>
      <c r="J35" s="332"/>
      <c r="K35" s="332"/>
      <c r="L35" s="332"/>
      <c r="M35" s="332"/>
      <c r="N35" s="332"/>
      <c r="O35" s="332"/>
      <c r="P35" s="332"/>
      <c r="Q35" s="332"/>
      <c r="R35" s="333"/>
      <c r="S35" s="332"/>
      <c r="T35" s="332"/>
      <c r="U35" s="332"/>
      <c r="V35" s="332"/>
      <c r="W35" s="332"/>
      <c r="X35" s="332"/>
      <c r="Y35" s="332"/>
      <c r="Z35" s="332"/>
    </row>
    <row r="36" spans="2:26" s="312" customFormat="1">
      <c r="B36" s="332"/>
      <c r="C36" s="332"/>
      <c r="D36" s="332"/>
      <c r="E36" s="332"/>
      <c r="F36" s="332"/>
      <c r="G36" s="332"/>
      <c r="H36" s="332"/>
      <c r="I36" s="332"/>
      <c r="J36" s="332"/>
      <c r="K36" s="332"/>
      <c r="L36" s="332"/>
      <c r="M36" s="332"/>
      <c r="N36" s="332"/>
      <c r="O36" s="332"/>
      <c r="P36" s="332"/>
      <c r="Q36" s="332"/>
      <c r="R36" s="333"/>
      <c r="S36" s="332"/>
      <c r="T36" s="332"/>
      <c r="U36" s="332"/>
      <c r="V36" s="332"/>
      <c r="W36" s="332"/>
      <c r="X36" s="332"/>
      <c r="Y36" s="332"/>
      <c r="Z36" s="332"/>
    </row>
    <row r="37" spans="2:26" s="312" customFormat="1">
      <c r="B37" s="332"/>
      <c r="C37" s="332"/>
      <c r="D37" s="332"/>
      <c r="E37" s="332"/>
      <c r="F37" s="332"/>
      <c r="G37" s="332"/>
      <c r="H37" s="332"/>
      <c r="I37" s="332"/>
      <c r="J37" s="332"/>
      <c r="K37" s="332"/>
      <c r="L37" s="332"/>
      <c r="M37" s="332"/>
      <c r="N37" s="332"/>
      <c r="O37" s="332"/>
      <c r="P37" s="332"/>
      <c r="Q37" s="332"/>
      <c r="R37" s="333"/>
      <c r="S37" s="332"/>
      <c r="T37" s="332"/>
      <c r="U37" s="332"/>
      <c r="V37" s="332"/>
      <c r="W37" s="332"/>
      <c r="X37" s="332"/>
      <c r="Y37" s="332"/>
      <c r="Z37" s="332"/>
    </row>
    <row r="38" spans="2:26" s="312" customFormat="1">
      <c r="B38" s="332"/>
      <c r="C38" s="332"/>
      <c r="D38" s="332"/>
      <c r="E38" s="332"/>
      <c r="F38" s="332"/>
      <c r="G38" s="332"/>
      <c r="H38" s="332"/>
      <c r="I38" s="332"/>
      <c r="J38" s="332"/>
      <c r="K38" s="332"/>
      <c r="L38" s="332"/>
      <c r="M38" s="332"/>
      <c r="N38" s="332"/>
      <c r="O38" s="332"/>
      <c r="P38" s="332"/>
      <c r="Q38" s="332"/>
      <c r="R38" s="333"/>
      <c r="S38" s="332"/>
      <c r="T38" s="332"/>
      <c r="U38" s="332"/>
      <c r="V38" s="332"/>
      <c r="W38" s="332"/>
      <c r="X38" s="332"/>
      <c r="Y38" s="332"/>
      <c r="Z38" s="332"/>
    </row>
    <row r="39" spans="2:26" s="312" customFormat="1">
      <c r="B39" s="332"/>
      <c r="C39" s="332"/>
      <c r="D39" s="332"/>
      <c r="E39" s="332"/>
      <c r="F39" s="332"/>
      <c r="G39" s="332"/>
      <c r="H39" s="332"/>
      <c r="I39" s="332"/>
      <c r="J39" s="332"/>
      <c r="K39" s="332"/>
      <c r="L39" s="332"/>
      <c r="M39" s="332"/>
      <c r="N39" s="332"/>
      <c r="O39" s="332"/>
      <c r="P39" s="332"/>
      <c r="Q39" s="332"/>
      <c r="R39" s="333"/>
      <c r="S39" s="332"/>
      <c r="T39" s="332"/>
      <c r="U39" s="332"/>
      <c r="V39" s="332"/>
      <c r="W39" s="332"/>
      <c r="X39" s="332"/>
      <c r="Y39" s="332"/>
      <c r="Z39" s="332"/>
    </row>
    <row r="40" spans="2:26" s="312" customFormat="1">
      <c r="B40" s="332"/>
      <c r="C40" s="332"/>
      <c r="D40" s="332"/>
      <c r="E40" s="332"/>
      <c r="F40" s="332"/>
      <c r="G40" s="332"/>
      <c r="H40" s="332"/>
      <c r="I40" s="332"/>
      <c r="J40" s="332"/>
      <c r="K40" s="332"/>
      <c r="L40" s="332"/>
      <c r="M40" s="332"/>
      <c r="N40" s="332"/>
      <c r="O40" s="332"/>
      <c r="P40" s="332"/>
      <c r="Q40" s="332"/>
      <c r="R40" s="333"/>
      <c r="S40" s="332"/>
      <c r="T40" s="332"/>
      <c r="U40" s="332"/>
      <c r="V40" s="332"/>
      <c r="W40" s="332"/>
      <c r="X40" s="332"/>
      <c r="Y40" s="332"/>
      <c r="Z40" s="332"/>
    </row>
    <row r="41" spans="2:26" s="312" customFormat="1">
      <c r="B41" s="332"/>
      <c r="C41" s="332"/>
      <c r="D41" s="332"/>
      <c r="E41" s="332"/>
      <c r="F41" s="332"/>
      <c r="G41" s="332"/>
      <c r="H41" s="332"/>
      <c r="I41" s="332"/>
      <c r="J41" s="332"/>
      <c r="K41" s="332"/>
      <c r="L41" s="332"/>
      <c r="M41" s="332"/>
      <c r="N41" s="332"/>
      <c r="O41" s="332"/>
      <c r="P41" s="332"/>
      <c r="Q41" s="332"/>
      <c r="R41" s="333"/>
      <c r="S41" s="332"/>
      <c r="T41" s="332"/>
      <c r="U41" s="332"/>
      <c r="V41" s="332"/>
      <c r="W41" s="332"/>
      <c r="X41" s="332"/>
      <c r="Y41" s="332"/>
      <c r="Z41" s="332"/>
    </row>
    <row r="42" spans="2:26" s="312" customFormat="1">
      <c r="B42" s="332"/>
      <c r="C42" s="332"/>
      <c r="D42" s="332"/>
      <c r="E42" s="332"/>
      <c r="F42" s="332"/>
      <c r="G42" s="332"/>
      <c r="H42" s="332"/>
      <c r="I42" s="332"/>
      <c r="J42" s="332"/>
      <c r="K42" s="332"/>
      <c r="L42" s="332"/>
      <c r="M42" s="332"/>
      <c r="N42" s="332"/>
      <c r="O42" s="332"/>
      <c r="P42" s="332"/>
      <c r="Q42" s="332"/>
      <c r="R42" s="333"/>
      <c r="S42" s="332"/>
      <c r="T42" s="332"/>
      <c r="U42" s="332"/>
      <c r="V42" s="332"/>
      <c r="W42" s="332"/>
      <c r="X42" s="332"/>
      <c r="Y42" s="332"/>
      <c r="Z42" s="332"/>
    </row>
    <row r="43" spans="2:26" s="312" customFormat="1">
      <c r="B43" s="332"/>
      <c r="C43" s="332"/>
      <c r="D43" s="332"/>
      <c r="E43" s="332"/>
      <c r="F43" s="332"/>
      <c r="G43" s="332"/>
      <c r="H43" s="332"/>
      <c r="I43" s="332"/>
      <c r="J43" s="332"/>
      <c r="K43" s="332"/>
      <c r="L43" s="332"/>
      <c r="M43" s="332"/>
      <c r="N43" s="332"/>
      <c r="O43" s="332"/>
      <c r="P43" s="332"/>
      <c r="Q43" s="332"/>
      <c r="R43" s="333"/>
      <c r="S43" s="332"/>
      <c r="T43" s="332"/>
      <c r="U43" s="332"/>
      <c r="V43" s="332"/>
      <c r="W43" s="332"/>
      <c r="X43" s="332"/>
      <c r="Y43" s="332"/>
      <c r="Z43" s="332"/>
    </row>
    <row r="44" spans="2:26" s="312" customFormat="1">
      <c r="B44" s="332"/>
      <c r="C44" s="332"/>
      <c r="D44" s="332"/>
      <c r="E44" s="332"/>
      <c r="F44" s="332"/>
      <c r="G44" s="332"/>
      <c r="H44" s="332"/>
      <c r="I44" s="332"/>
      <c r="J44" s="332"/>
      <c r="K44" s="332"/>
      <c r="L44" s="332"/>
      <c r="M44" s="332"/>
      <c r="N44" s="332"/>
      <c r="O44" s="332"/>
      <c r="P44" s="332"/>
      <c r="Q44" s="332"/>
      <c r="R44" s="333"/>
      <c r="S44" s="332"/>
      <c r="T44" s="332"/>
      <c r="U44" s="332"/>
      <c r="V44" s="332"/>
      <c r="W44" s="332"/>
      <c r="X44" s="332"/>
      <c r="Y44" s="332"/>
      <c r="Z44" s="332"/>
    </row>
    <row r="45" spans="2:26" s="312" customFormat="1">
      <c r="B45" s="332"/>
      <c r="C45" s="332"/>
      <c r="D45" s="332"/>
      <c r="E45" s="332"/>
      <c r="F45" s="332"/>
      <c r="G45" s="332"/>
      <c r="H45" s="332"/>
      <c r="I45" s="332"/>
      <c r="J45" s="332"/>
      <c r="K45" s="332"/>
      <c r="L45" s="332"/>
      <c r="M45" s="332"/>
      <c r="N45" s="332"/>
      <c r="O45" s="332"/>
      <c r="P45" s="332"/>
      <c r="Q45" s="332"/>
      <c r="R45" s="333"/>
      <c r="S45" s="332"/>
      <c r="T45" s="332"/>
      <c r="U45" s="332"/>
      <c r="V45" s="332"/>
      <c r="W45" s="332"/>
      <c r="X45" s="332"/>
      <c r="Y45" s="332"/>
      <c r="Z45" s="332"/>
    </row>
    <row r="46" spans="2:26" s="312" customFormat="1">
      <c r="B46" s="332"/>
      <c r="C46" s="332"/>
      <c r="D46" s="332"/>
      <c r="E46" s="332"/>
      <c r="F46" s="332"/>
      <c r="G46" s="332"/>
      <c r="H46" s="332"/>
      <c r="I46" s="332"/>
      <c r="J46" s="332"/>
      <c r="K46" s="332"/>
      <c r="L46" s="332"/>
      <c r="M46" s="332"/>
      <c r="N46" s="332"/>
      <c r="O46" s="332"/>
      <c r="P46" s="332"/>
      <c r="Q46" s="332"/>
      <c r="R46" s="333"/>
      <c r="S46" s="332"/>
      <c r="T46" s="332"/>
      <c r="U46" s="332"/>
      <c r="V46" s="332"/>
      <c r="W46" s="332"/>
      <c r="X46" s="332"/>
      <c r="Y46" s="332"/>
      <c r="Z46" s="332"/>
    </row>
    <row r="47" spans="2:26" s="312" customFormat="1">
      <c r="B47" s="332"/>
      <c r="C47" s="332"/>
      <c r="D47" s="332"/>
      <c r="E47" s="332"/>
      <c r="F47" s="332"/>
      <c r="G47" s="332"/>
      <c r="H47" s="332"/>
      <c r="I47" s="332"/>
      <c r="J47" s="332"/>
      <c r="K47" s="332"/>
      <c r="L47" s="332"/>
      <c r="M47" s="332"/>
      <c r="N47" s="332"/>
      <c r="O47" s="332"/>
      <c r="P47" s="332"/>
      <c r="Q47" s="332"/>
      <c r="R47" s="333"/>
      <c r="S47" s="332"/>
      <c r="T47" s="332"/>
      <c r="U47" s="332"/>
      <c r="V47" s="332"/>
      <c r="W47" s="332"/>
      <c r="X47" s="332"/>
      <c r="Y47" s="332"/>
      <c r="Z47" s="332"/>
    </row>
    <row r="48" spans="2:26" s="312" customFormat="1">
      <c r="B48" s="332"/>
      <c r="C48" s="332"/>
      <c r="D48" s="332"/>
      <c r="E48" s="332"/>
      <c r="F48" s="332"/>
      <c r="G48" s="332"/>
      <c r="H48" s="332"/>
      <c r="I48" s="332"/>
      <c r="J48" s="332"/>
      <c r="K48" s="332"/>
      <c r="L48" s="332"/>
      <c r="M48" s="332"/>
      <c r="N48" s="332"/>
      <c r="O48" s="332"/>
      <c r="P48" s="332"/>
      <c r="Q48" s="332"/>
      <c r="R48" s="333"/>
      <c r="S48" s="332"/>
      <c r="T48" s="332"/>
      <c r="U48" s="332"/>
      <c r="V48" s="332"/>
      <c r="W48" s="332"/>
      <c r="X48" s="332"/>
      <c r="Y48" s="332"/>
      <c r="Z48" s="332"/>
    </row>
    <row r="49" spans="18:18" s="312" customFormat="1">
      <c r="R49" s="333"/>
    </row>
    <row r="50" spans="18:18" s="312" customFormat="1">
      <c r="R50" s="333"/>
    </row>
    <row r="51" spans="18:18" s="312" customFormat="1">
      <c r="R51" s="333"/>
    </row>
    <row r="52" spans="18:18" s="312" customFormat="1">
      <c r="R52" s="333"/>
    </row>
    <row r="53" spans="18:18" s="312" customFormat="1">
      <c r="R53" s="333"/>
    </row>
    <row r="54" spans="18:18" s="312" customFormat="1">
      <c r="R54" s="333"/>
    </row>
    <row r="55" spans="18:18" s="312" customFormat="1">
      <c r="R55" s="333"/>
    </row>
    <row r="56" spans="18:18" s="312" customFormat="1">
      <c r="R56" s="333"/>
    </row>
    <row r="57" spans="18:18" s="312" customFormat="1">
      <c r="R57" s="333"/>
    </row>
    <row r="58" spans="18:18" s="312" customFormat="1">
      <c r="R58" s="333"/>
    </row>
    <row r="59" spans="18:18" s="312" customFormat="1">
      <c r="R59" s="333"/>
    </row>
    <row r="60" spans="18:18" s="312" customFormat="1">
      <c r="R60" s="333"/>
    </row>
    <row r="61" spans="18:18" s="312" customFormat="1">
      <c r="R61" s="333"/>
    </row>
    <row r="62" spans="18:18" s="312" customFormat="1">
      <c r="R62" s="333"/>
    </row>
    <row r="63" spans="18:18" s="312" customFormat="1">
      <c r="R63" s="333"/>
    </row>
    <row r="64" spans="18:18" s="312" customFormat="1">
      <c r="R64" s="333"/>
    </row>
    <row r="65" spans="18:18" s="312" customFormat="1">
      <c r="R65" s="333"/>
    </row>
    <row r="66" spans="18:18" s="312" customFormat="1">
      <c r="R66" s="333"/>
    </row>
    <row r="67" spans="18:18" s="312" customFormat="1">
      <c r="R67" s="333"/>
    </row>
    <row r="68" spans="18:18" s="312" customFormat="1">
      <c r="R68" s="333"/>
    </row>
    <row r="69" spans="18:18" s="312" customFormat="1">
      <c r="R69" s="333"/>
    </row>
    <row r="70" spans="18:18" s="312" customFormat="1">
      <c r="R70" s="333"/>
    </row>
    <row r="71" spans="18:18" s="312" customFormat="1">
      <c r="R71" s="333"/>
    </row>
    <row r="72" spans="18:18" s="312" customFormat="1">
      <c r="R72" s="333"/>
    </row>
    <row r="73" spans="18:18" s="312" customFormat="1">
      <c r="R73" s="333"/>
    </row>
    <row r="74" spans="18:18" s="312" customFormat="1">
      <c r="R74" s="333"/>
    </row>
    <row r="75" spans="18:18" s="312" customFormat="1">
      <c r="R75" s="333"/>
    </row>
    <row r="76" spans="18:18" s="312" customFormat="1">
      <c r="R76" s="333"/>
    </row>
    <row r="77" spans="18:18" s="312" customFormat="1">
      <c r="R77" s="333"/>
    </row>
    <row r="78" spans="18:18" s="312" customFormat="1">
      <c r="R78" s="333"/>
    </row>
    <row r="79" spans="18:18" s="312" customFormat="1">
      <c r="R79" s="333"/>
    </row>
    <row r="80" spans="18:18" s="312" customFormat="1">
      <c r="R80" s="333"/>
    </row>
    <row r="81" spans="18:18" s="312" customFormat="1">
      <c r="R81" s="333"/>
    </row>
    <row r="82" spans="18:18" s="312" customFormat="1">
      <c r="R82" s="333"/>
    </row>
    <row r="83" spans="18:18" s="312" customFormat="1">
      <c r="R83" s="333"/>
    </row>
    <row r="84" spans="18:18" s="312" customFormat="1">
      <c r="R84" s="333"/>
    </row>
    <row r="85" spans="18:18" s="312" customFormat="1">
      <c r="R85" s="333"/>
    </row>
    <row r="86" spans="18:18" s="312" customFormat="1">
      <c r="R86" s="333"/>
    </row>
    <row r="87" spans="18:18" s="312" customFormat="1">
      <c r="R87" s="333"/>
    </row>
    <row r="88" spans="18:18" s="312" customFormat="1">
      <c r="R88" s="333"/>
    </row>
    <row r="89" spans="18:18" s="312" customFormat="1">
      <c r="R89" s="333"/>
    </row>
    <row r="90" spans="18:18" s="312" customFormat="1">
      <c r="R90" s="333"/>
    </row>
    <row r="91" spans="18:18" s="312" customFormat="1">
      <c r="R91" s="333"/>
    </row>
    <row r="92" spans="18:18" s="312" customFormat="1">
      <c r="R92" s="333"/>
    </row>
    <row r="93" spans="18:18" s="312" customFormat="1">
      <c r="R93" s="333"/>
    </row>
    <row r="94" spans="18:18" s="312" customFormat="1">
      <c r="R94" s="333"/>
    </row>
    <row r="95" spans="18:18" s="312" customFormat="1">
      <c r="R95" s="333"/>
    </row>
    <row r="96" spans="18:18" s="312" customFormat="1">
      <c r="R96" s="333"/>
    </row>
    <row r="97" spans="18:18" s="312" customFormat="1">
      <c r="R97" s="333"/>
    </row>
    <row r="98" spans="18:18" s="312" customFormat="1">
      <c r="R98" s="333"/>
    </row>
    <row r="99" spans="18:18" s="312" customFormat="1">
      <c r="R99" s="333"/>
    </row>
    <row r="100" spans="18:18" s="312" customFormat="1">
      <c r="R100" s="333"/>
    </row>
    <row r="101" spans="18:18" s="312" customFormat="1">
      <c r="R101" s="333"/>
    </row>
    <row r="102" spans="18:18" s="312" customFormat="1">
      <c r="R102" s="333"/>
    </row>
    <row r="103" spans="18:18" s="312" customFormat="1">
      <c r="R103" s="333"/>
    </row>
    <row r="104" spans="18:18" s="312" customFormat="1">
      <c r="R104" s="333"/>
    </row>
    <row r="105" spans="18:18" s="312" customFormat="1">
      <c r="R105" s="333"/>
    </row>
    <row r="106" spans="18:18" s="312" customFormat="1">
      <c r="R106" s="333"/>
    </row>
    <row r="107" spans="18:18" s="312" customFormat="1">
      <c r="R107" s="333"/>
    </row>
    <row r="108" spans="18:18" s="312" customFormat="1">
      <c r="R108" s="333"/>
    </row>
    <row r="109" spans="18:18" s="312" customFormat="1">
      <c r="R109" s="333"/>
    </row>
    <row r="110" spans="18:18" s="312" customFormat="1">
      <c r="R110" s="333"/>
    </row>
    <row r="111" spans="18:18" s="312" customFormat="1">
      <c r="R111" s="333"/>
    </row>
    <row r="112" spans="18:18" s="312" customFormat="1">
      <c r="R112" s="333"/>
    </row>
    <row r="113" spans="18:18" s="312" customFormat="1">
      <c r="R113" s="333"/>
    </row>
    <row r="114" spans="18:18" s="312" customFormat="1">
      <c r="R114" s="333"/>
    </row>
    <row r="115" spans="18:18" s="312" customFormat="1">
      <c r="R115" s="333"/>
    </row>
    <row r="116" spans="18:18" s="312" customFormat="1">
      <c r="R116" s="333"/>
    </row>
    <row r="117" spans="18:18" s="312" customFormat="1">
      <c r="R117" s="333"/>
    </row>
    <row r="118" spans="18:18" s="312" customFormat="1">
      <c r="R118" s="333"/>
    </row>
    <row r="119" spans="18:18" s="312" customFormat="1">
      <c r="R119" s="333"/>
    </row>
    <row r="120" spans="18:18" s="312" customFormat="1">
      <c r="R120" s="333"/>
    </row>
    <row r="121" spans="18:18" s="312" customFormat="1">
      <c r="R121" s="333"/>
    </row>
    <row r="122" spans="18:18" s="312" customFormat="1">
      <c r="R122" s="333"/>
    </row>
    <row r="123" spans="18:18" s="312" customFormat="1">
      <c r="R123" s="333"/>
    </row>
    <row r="124" spans="18:18" s="312" customFormat="1">
      <c r="R124" s="333"/>
    </row>
    <row r="125" spans="18:18" s="312" customFormat="1">
      <c r="R125" s="333"/>
    </row>
    <row r="126" spans="18:18" s="312" customFormat="1">
      <c r="R126" s="333"/>
    </row>
    <row r="127" spans="18:18" s="312" customFormat="1">
      <c r="R127" s="333"/>
    </row>
    <row r="128" spans="18:18" s="312" customFormat="1">
      <c r="R128" s="333"/>
    </row>
    <row r="129" spans="18:18" s="312" customFormat="1">
      <c r="R129" s="333"/>
    </row>
    <row r="130" spans="18:18" s="312" customFormat="1">
      <c r="R130" s="333"/>
    </row>
    <row r="131" spans="18:18" s="312" customFormat="1">
      <c r="R131" s="333"/>
    </row>
    <row r="132" spans="18:18" s="312" customFormat="1">
      <c r="R132" s="333"/>
    </row>
    <row r="133" spans="18:18" s="312" customFormat="1">
      <c r="R133" s="333"/>
    </row>
    <row r="134" spans="18:18" s="312" customFormat="1">
      <c r="R134" s="333"/>
    </row>
    <row r="135" spans="18:18" s="312" customFormat="1">
      <c r="R135" s="333"/>
    </row>
    <row r="136" spans="18:18" s="312" customFormat="1">
      <c r="R136" s="333"/>
    </row>
    <row r="137" spans="18:18" s="312" customFormat="1">
      <c r="R137" s="333"/>
    </row>
    <row r="138" spans="18:18" s="312" customFormat="1">
      <c r="R138" s="333"/>
    </row>
    <row r="139" spans="18:18" s="312" customFormat="1">
      <c r="R139" s="333"/>
    </row>
    <row r="140" spans="18:18" s="312" customFormat="1">
      <c r="R140" s="333"/>
    </row>
    <row r="141" spans="18:18" s="312" customFormat="1">
      <c r="R141" s="333"/>
    </row>
    <row r="142" spans="18:18" s="312" customFormat="1">
      <c r="R142" s="333"/>
    </row>
    <row r="143" spans="18:18" s="312" customFormat="1">
      <c r="R143" s="333"/>
    </row>
    <row r="144" spans="18:18" s="312" customFormat="1">
      <c r="R144" s="333"/>
    </row>
    <row r="145" spans="18:18" s="312" customFormat="1">
      <c r="R145" s="333"/>
    </row>
    <row r="146" spans="18:18" s="312" customFormat="1">
      <c r="R146" s="333"/>
    </row>
    <row r="147" spans="18:18" s="312" customFormat="1">
      <c r="R147" s="333"/>
    </row>
    <row r="148" spans="18:18" s="312" customFormat="1">
      <c r="R148" s="333"/>
    </row>
    <row r="149" spans="18:18" s="312" customFormat="1">
      <c r="R149" s="333"/>
    </row>
    <row r="150" spans="18:18" s="312" customFormat="1">
      <c r="R150" s="333"/>
    </row>
    <row r="151" spans="18:18" s="312" customFormat="1">
      <c r="R151" s="333"/>
    </row>
    <row r="152" spans="18:18" s="312" customFormat="1">
      <c r="R152" s="333"/>
    </row>
    <row r="153" spans="18:18" s="312" customFormat="1">
      <c r="R153" s="333"/>
    </row>
    <row r="154" spans="18:18" s="312" customFormat="1">
      <c r="R154" s="333"/>
    </row>
    <row r="155" spans="18:18" s="312" customFormat="1">
      <c r="R155" s="333"/>
    </row>
    <row r="156" spans="18:18" s="312" customFormat="1">
      <c r="R156" s="333"/>
    </row>
    <row r="157" spans="18:18" s="312" customFormat="1">
      <c r="R157" s="333"/>
    </row>
    <row r="158" spans="18:18" s="312" customFormat="1">
      <c r="R158" s="333"/>
    </row>
    <row r="159" spans="18:18" s="312" customFormat="1">
      <c r="R159" s="333"/>
    </row>
    <row r="160" spans="18:18" s="312" customFormat="1">
      <c r="R160" s="333"/>
    </row>
    <row r="161" spans="18:18" s="312" customFormat="1">
      <c r="R161" s="333"/>
    </row>
    <row r="162" spans="18:18" s="312" customFormat="1">
      <c r="R162" s="333"/>
    </row>
    <row r="163" spans="18:18" s="312" customFormat="1">
      <c r="R163" s="333"/>
    </row>
    <row r="164" spans="18:18" s="312" customFormat="1">
      <c r="R164" s="333"/>
    </row>
    <row r="165" spans="18:18" s="312" customFormat="1">
      <c r="R165" s="333"/>
    </row>
    <row r="166" spans="18:18" s="312" customFormat="1">
      <c r="R166" s="333"/>
    </row>
    <row r="167" spans="18:18" s="312" customFormat="1">
      <c r="R167" s="333"/>
    </row>
    <row r="168" spans="18:18" s="312" customFormat="1">
      <c r="R168" s="333"/>
    </row>
    <row r="169" spans="18:18" s="312" customFormat="1">
      <c r="R169" s="333"/>
    </row>
    <row r="170" spans="18:18" s="312" customFormat="1">
      <c r="R170" s="333"/>
    </row>
    <row r="171" spans="18:18" s="312" customFormat="1">
      <c r="R171" s="333"/>
    </row>
    <row r="172" spans="18:18" s="312" customFormat="1">
      <c r="R172" s="333"/>
    </row>
    <row r="173" spans="18:18" s="312" customFormat="1">
      <c r="R173" s="333"/>
    </row>
    <row r="174" spans="18:18" s="312" customFormat="1">
      <c r="R174" s="333"/>
    </row>
    <row r="175" spans="18:18" s="312" customFormat="1">
      <c r="R175" s="333"/>
    </row>
    <row r="176" spans="18:18" s="312" customFormat="1">
      <c r="R176" s="333"/>
    </row>
    <row r="177" spans="18:18" s="312" customFormat="1">
      <c r="R177" s="333"/>
    </row>
    <row r="178" spans="18:18" s="312" customFormat="1">
      <c r="R178" s="333"/>
    </row>
    <row r="179" spans="18:18" s="312" customFormat="1">
      <c r="R179" s="333"/>
    </row>
    <row r="180" spans="18:18" s="312" customFormat="1">
      <c r="R180" s="333"/>
    </row>
    <row r="181" spans="18:18" s="312" customFormat="1">
      <c r="R181" s="333"/>
    </row>
    <row r="182" spans="18:18" s="312" customFormat="1">
      <c r="R182" s="333"/>
    </row>
    <row r="183" spans="18:18" s="312" customFormat="1">
      <c r="R183" s="333"/>
    </row>
    <row r="184" spans="18:18" s="312" customFormat="1">
      <c r="R184" s="333"/>
    </row>
    <row r="185" spans="18:18" s="312" customFormat="1">
      <c r="R185" s="333"/>
    </row>
    <row r="186" spans="18:18" s="312" customFormat="1">
      <c r="R186" s="333"/>
    </row>
    <row r="187" spans="18:18" s="312" customFormat="1">
      <c r="R187" s="333"/>
    </row>
    <row r="188" spans="18:18" s="312" customFormat="1">
      <c r="R188" s="333"/>
    </row>
    <row r="189" spans="18:18" s="312" customFormat="1">
      <c r="R189" s="333"/>
    </row>
    <row r="190" spans="18:18" s="312" customFormat="1">
      <c r="R190" s="333"/>
    </row>
    <row r="191" spans="18:18" s="312" customFormat="1">
      <c r="R191" s="333"/>
    </row>
    <row r="192" spans="18:18" s="312" customFormat="1">
      <c r="R192" s="333"/>
    </row>
    <row r="193" spans="18:18" s="312" customFormat="1">
      <c r="R193" s="333"/>
    </row>
    <row r="194" spans="18:18" s="312" customFormat="1">
      <c r="R194" s="333"/>
    </row>
    <row r="195" spans="18:18" s="312" customFormat="1">
      <c r="R195" s="333"/>
    </row>
    <row r="196" spans="18:18" s="312" customFormat="1">
      <c r="R196" s="333"/>
    </row>
    <row r="197" spans="18:18" s="312" customFormat="1">
      <c r="R197" s="333"/>
    </row>
    <row r="198" spans="18:18" s="312" customFormat="1">
      <c r="R198" s="333"/>
    </row>
    <row r="199" spans="18:18" s="312" customFormat="1">
      <c r="R199" s="333"/>
    </row>
    <row r="200" spans="18:18" s="312" customFormat="1">
      <c r="R200" s="333"/>
    </row>
    <row r="201" spans="18:18" s="312" customFormat="1">
      <c r="R201" s="333"/>
    </row>
    <row r="202" spans="18:18" s="312" customFormat="1">
      <c r="R202" s="333"/>
    </row>
    <row r="203" spans="18:18" s="312" customFormat="1">
      <c r="R203" s="333"/>
    </row>
    <row r="204" spans="18:18" s="312" customFormat="1">
      <c r="R204" s="333"/>
    </row>
    <row r="205" spans="18:18" s="312" customFormat="1">
      <c r="R205" s="333"/>
    </row>
    <row r="206" spans="18:18" s="312" customFormat="1">
      <c r="R206" s="333"/>
    </row>
    <row r="207" spans="18:18" s="312" customFormat="1">
      <c r="R207" s="333"/>
    </row>
    <row r="208" spans="18:18" s="312" customFormat="1">
      <c r="R208" s="333"/>
    </row>
    <row r="209" spans="18:18" s="312" customFormat="1">
      <c r="R209" s="333"/>
    </row>
    <row r="210" spans="18:18" s="312" customFormat="1">
      <c r="R210" s="333"/>
    </row>
    <row r="211" spans="18:18" s="312" customFormat="1">
      <c r="R211" s="333"/>
    </row>
    <row r="212" spans="18:18" s="312" customFormat="1">
      <c r="R212" s="333"/>
    </row>
    <row r="213" spans="18:18" s="312" customFormat="1">
      <c r="R213" s="333"/>
    </row>
    <row r="214" spans="18:18" s="312" customFormat="1">
      <c r="R214" s="333"/>
    </row>
    <row r="215" spans="18:18" s="312" customFormat="1">
      <c r="R215" s="333"/>
    </row>
    <row r="216" spans="18:18" s="312" customFormat="1">
      <c r="R216" s="333"/>
    </row>
    <row r="217" spans="18:18" s="312" customFormat="1">
      <c r="R217" s="333"/>
    </row>
    <row r="218" spans="18:18" s="312" customFormat="1">
      <c r="R218" s="333"/>
    </row>
    <row r="219" spans="18:18" s="312" customFormat="1">
      <c r="R219" s="333"/>
    </row>
    <row r="220" spans="18:18" s="312" customFormat="1">
      <c r="R220" s="333"/>
    </row>
    <row r="221" spans="18:18" s="312" customFormat="1">
      <c r="R221" s="333"/>
    </row>
    <row r="222" spans="18:18" s="312" customFormat="1">
      <c r="R222" s="333"/>
    </row>
    <row r="223" spans="18:18" s="312" customFormat="1">
      <c r="R223" s="333"/>
    </row>
    <row r="224" spans="18:18" s="312" customFormat="1">
      <c r="R224" s="333"/>
    </row>
    <row r="225" spans="18:18" s="312" customFormat="1">
      <c r="R225" s="333"/>
    </row>
    <row r="226" spans="18:18" s="312" customFormat="1">
      <c r="R226" s="333"/>
    </row>
  </sheetData>
  <sheetProtection sheet="1"/>
  <mergeCells count="11">
    <mergeCell ref="F9:G9"/>
    <mergeCell ref="F10:G10"/>
    <mergeCell ref="F11:G11"/>
    <mergeCell ref="F6:G6"/>
    <mergeCell ref="C3:C4"/>
    <mergeCell ref="E3:E4"/>
    <mergeCell ref="K3:M3"/>
    <mergeCell ref="F4:G4"/>
    <mergeCell ref="F5:G5"/>
    <mergeCell ref="F7:G7"/>
    <mergeCell ref="F8:G8"/>
  </mergeCells>
  <dataValidations count="2">
    <dataValidation type="list" allowBlank="1" showInputMessage="1" showErrorMessage="1" sqref="B5:B11">
      <formula1>$R$5:$R$12</formula1>
    </dataValidation>
    <dataValidation type="list" allowBlank="1" showInputMessage="1" showErrorMessage="1" sqref="E5:E11">
      <formula1>$J$5:$J$7</formula1>
    </dataValidation>
  </dataValidations>
  <printOptions horizontalCentered="1"/>
  <pageMargins left="0.25" right="0.25"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sheetPr codeName="Sheet3">
    <pageSetUpPr fitToPage="1"/>
  </sheetPr>
  <dimension ref="A1:AA103"/>
  <sheetViews>
    <sheetView workbookViewId="0"/>
  </sheetViews>
  <sheetFormatPr defaultRowHeight="12.75"/>
  <cols>
    <col min="1" max="1" width="43.28515625" style="312" customWidth="1"/>
    <col min="2" max="2" width="26.85546875" customWidth="1"/>
    <col min="3" max="3" width="11" customWidth="1"/>
    <col min="4" max="4" width="9.5703125" customWidth="1"/>
    <col min="5" max="5" width="11.28515625" style="84" customWidth="1"/>
    <col min="6" max="6" width="9.28515625" bestFit="1" customWidth="1"/>
    <col min="7" max="7" width="7.7109375" style="84" customWidth="1"/>
    <col min="8" max="8" width="11.7109375" customWidth="1"/>
    <col min="9" max="9" width="12.140625" customWidth="1"/>
    <col min="10" max="10" width="9.140625" style="312"/>
    <col min="11" max="11" width="19.7109375" style="312" customWidth="1"/>
    <col min="12" max="23" width="9.140625" style="312"/>
  </cols>
  <sheetData>
    <row r="1" spans="1:27" ht="18.75" thickBot="1">
      <c r="B1" s="88" t="s">
        <v>72</v>
      </c>
      <c r="C1" s="391"/>
      <c r="D1" s="391"/>
      <c r="E1" s="391"/>
      <c r="F1" s="391"/>
      <c r="G1" s="391"/>
      <c r="H1" s="391"/>
      <c r="I1" s="88"/>
      <c r="X1" s="203"/>
      <c r="Y1" s="203"/>
      <c r="Z1" s="203"/>
      <c r="AA1" s="203"/>
    </row>
    <row r="2" spans="1:27" ht="26.25" thickBot="1">
      <c r="B2" s="85" t="s">
        <v>39</v>
      </c>
      <c r="C2" s="221"/>
      <c r="D2" s="222"/>
      <c r="E2" s="222"/>
      <c r="F2" s="85"/>
      <c r="G2" s="284"/>
      <c r="H2" s="221" t="s">
        <v>137</v>
      </c>
      <c r="I2" s="287" t="s">
        <v>126</v>
      </c>
      <c r="K2" s="317"/>
      <c r="L2" s="343"/>
      <c r="X2" s="203"/>
      <c r="Y2" s="203"/>
      <c r="Z2" s="203"/>
      <c r="AA2" s="203"/>
    </row>
    <row r="3" spans="1:27">
      <c r="B3" s="100"/>
      <c r="C3" s="131" t="s">
        <v>59</v>
      </c>
      <c r="D3" s="82" t="s">
        <v>40</v>
      </c>
      <c r="E3" s="82" t="s">
        <v>6</v>
      </c>
      <c r="F3" s="285"/>
      <c r="G3" s="286"/>
      <c r="H3" s="138" t="s">
        <v>41</v>
      </c>
      <c r="I3" s="162" t="s">
        <v>41</v>
      </c>
      <c r="X3" s="203"/>
      <c r="Y3" s="203"/>
      <c r="Z3" s="203"/>
      <c r="AA3" s="203"/>
    </row>
    <row r="4" spans="1:27">
      <c r="B4" s="92" t="s">
        <v>114</v>
      </c>
      <c r="C4" s="74">
        <f>IF(Inputs!F26&gt;C12+C13,C12+C13,Inputs!F26)</f>
        <v>225</v>
      </c>
      <c r="D4" s="93">
        <f>Inputs!F27</f>
        <v>60</v>
      </c>
      <c r="E4" s="93">
        <f>Inputs!F28</f>
        <v>140</v>
      </c>
      <c r="F4" s="93" t="s">
        <v>1</v>
      </c>
      <c r="G4" s="137"/>
      <c r="H4" s="175">
        <f>C4*D4*E4/100</f>
        <v>18900</v>
      </c>
      <c r="I4" s="169">
        <f>IF(C4=0,0,H4/C4)</f>
        <v>84</v>
      </c>
      <c r="X4" s="203"/>
      <c r="Y4" s="203"/>
      <c r="Z4" s="203"/>
      <c r="AA4" s="203"/>
    </row>
    <row r="5" spans="1:27" s="84" customFormat="1">
      <c r="A5" s="312"/>
      <c r="B5" s="92"/>
      <c r="C5" s="74"/>
      <c r="D5" s="93"/>
      <c r="E5" s="93"/>
      <c r="F5" s="93"/>
      <c r="G5" s="137"/>
      <c r="H5" s="175"/>
      <c r="I5" s="169"/>
      <c r="J5" s="312"/>
      <c r="K5" s="312"/>
      <c r="L5" s="312"/>
      <c r="M5" s="312"/>
      <c r="N5" s="312"/>
      <c r="O5" s="312"/>
      <c r="P5" s="312"/>
      <c r="Q5" s="312"/>
      <c r="R5" s="312"/>
      <c r="S5" s="312"/>
      <c r="T5" s="312"/>
      <c r="U5" s="312"/>
      <c r="V5" s="312"/>
      <c r="W5" s="312"/>
      <c r="X5" s="203"/>
      <c r="Y5" s="203"/>
      <c r="Z5" s="203"/>
      <c r="AA5" s="203"/>
    </row>
    <row r="6" spans="1:27" s="84" customFormat="1">
      <c r="A6" s="312"/>
      <c r="B6" s="92" t="s">
        <v>124</v>
      </c>
      <c r="C6" s="74"/>
      <c r="D6" s="93">
        <f>Inputs!F25</f>
        <v>0</v>
      </c>
      <c r="E6" s="95">
        <f>Inputs!F19</f>
        <v>0.1</v>
      </c>
      <c r="F6" s="93" t="str">
        <f>Inputs!G19</f>
        <v>$ / lb</v>
      </c>
      <c r="G6" s="137"/>
      <c r="H6" s="175">
        <f>D6*E6</f>
        <v>0</v>
      </c>
      <c r="I6" s="169">
        <f>IFERROR(H6/C4,"")</f>
        <v>0</v>
      </c>
      <c r="J6" s="312"/>
      <c r="K6" s="312"/>
      <c r="L6" s="312"/>
      <c r="M6" s="312"/>
      <c r="N6" s="312"/>
      <c r="O6" s="312"/>
      <c r="P6" s="312"/>
      <c r="Q6" s="312"/>
      <c r="R6" s="312"/>
      <c r="S6" s="312"/>
      <c r="T6" s="312"/>
      <c r="U6" s="312"/>
      <c r="V6" s="312"/>
      <c r="W6" s="312"/>
      <c r="X6" s="203"/>
      <c r="Y6" s="203"/>
      <c r="Z6" s="203"/>
      <c r="AA6" s="203"/>
    </row>
    <row r="7" spans="1:27" ht="13.5" thickBot="1">
      <c r="B7" s="92"/>
      <c r="C7" s="74"/>
      <c r="D7" s="93"/>
      <c r="E7" s="93"/>
      <c r="F7" s="93"/>
      <c r="G7" s="137"/>
      <c r="H7" s="288"/>
      <c r="I7" s="289" t="str">
        <f>IF(H7=0,"",H7/$C$4)</f>
        <v/>
      </c>
      <c r="K7" s="317"/>
      <c r="X7" s="203"/>
      <c r="Y7" s="203"/>
      <c r="Z7" s="203"/>
      <c r="AA7" s="203"/>
    </row>
    <row r="8" spans="1:27" ht="13.5" thickBot="1">
      <c r="B8" s="290"/>
      <c r="C8" s="185"/>
      <c r="D8" s="86"/>
      <c r="E8" s="86"/>
      <c r="F8" s="86"/>
      <c r="G8" s="186" t="s">
        <v>43</v>
      </c>
      <c r="H8" s="186">
        <f>SUM(H4:H7)</f>
        <v>18900</v>
      </c>
      <c r="I8" s="188">
        <f>IF(H8=0,"",H8/$C$4)</f>
        <v>84</v>
      </c>
      <c r="X8" s="203"/>
      <c r="Y8" s="203"/>
      <c r="Z8" s="203"/>
      <c r="AA8" s="203"/>
    </row>
    <row r="9" spans="1:27" ht="13.5" thickBot="1">
      <c r="B9" s="98"/>
      <c r="C9" s="98"/>
      <c r="D9" s="87"/>
      <c r="E9" s="87"/>
      <c r="F9" s="87"/>
      <c r="G9" s="87"/>
      <c r="H9" s="87"/>
      <c r="I9" s="87" t="str">
        <f>IF(H9=0,"",H9/$C$4)</f>
        <v/>
      </c>
      <c r="X9" s="203"/>
      <c r="Y9" s="203"/>
      <c r="Z9" s="203"/>
      <c r="AA9" s="203"/>
    </row>
    <row r="10" spans="1:27" ht="26.25" thickBot="1">
      <c r="B10" s="85" t="s">
        <v>44</v>
      </c>
      <c r="C10" s="221"/>
      <c r="D10" s="222"/>
      <c r="E10" s="222"/>
      <c r="F10" s="222"/>
      <c r="G10" s="222"/>
      <c r="H10" s="221" t="s">
        <v>137</v>
      </c>
      <c r="I10" s="287" t="s">
        <v>126</v>
      </c>
      <c r="X10" s="203"/>
      <c r="Y10" s="203"/>
      <c r="Z10" s="203"/>
      <c r="AA10" s="203"/>
    </row>
    <row r="11" spans="1:27" s="84" customFormat="1">
      <c r="A11" s="312"/>
      <c r="B11" s="92"/>
      <c r="C11" s="131" t="s">
        <v>59</v>
      </c>
      <c r="D11" s="82" t="s">
        <v>40</v>
      </c>
      <c r="E11" s="82" t="s">
        <v>6</v>
      </c>
      <c r="F11" s="285"/>
      <c r="G11" s="286"/>
      <c r="H11" s="138" t="s">
        <v>41</v>
      </c>
      <c r="I11" s="162" t="s">
        <v>41</v>
      </c>
      <c r="J11" s="312"/>
      <c r="K11" s="312"/>
      <c r="L11" s="312"/>
      <c r="M11" s="312"/>
      <c r="N11" s="312"/>
      <c r="O11" s="312"/>
      <c r="P11" s="312"/>
      <c r="Q11" s="312"/>
      <c r="R11" s="312"/>
      <c r="S11" s="312"/>
      <c r="T11" s="312"/>
      <c r="U11" s="312"/>
      <c r="V11" s="312"/>
      <c r="W11" s="312"/>
      <c r="X11" s="203"/>
      <c r="Y11" s="203"/>
      <c r="Z11" s="203"/>
      <c r="AA11" s="203"/>
    </row>
    <row r="12" spans="1:27" ht="12.75" customHeight="1">
      <c r="B12" s="100" t="s">
        <v>148</v>
      </c>
      <c r="C12" s="273">
        <f>Inputs!F15-IF(Inputs!F6="No",(Inputs!F4+Inputs!F5),0)</f>
        <v>225</v>
      </c>
      <c r="D12" s="93">
        <f>Inputs!F16</f>
        <v>60</v>
      </c>
      <c r="E12" s="95">
        <f>IF(C12=0,0,Inputs!F17)</f>
        <v>140</v>
      </c>
      <c r="F12" s="93" t="s">
        <v>1</v>
      </c>
      <c r="G12" s="137"/>
      <c r="H12" s="176">
        <f>IF(C12=0,0,C12*D12*E12/100)</f>
        <v>18900</v>
      </c>
      <c r="I12" s="170">
        <f>IF(C4=0,0,H12/C4)</f>
        <v>84</v>
      </c>
      <c r="X12" s="203"/>
      <c r="Y12" s="203"/>
      <c r="Z12" s="203"/>
      <c r="AA12" s="203"/>
    </row>
    <row r="13" spans="1:27" s="84" customFormat="1" ht="12.75" customHeight="1">
      <c r="A13" s="312"/>
      <c r="B13" s="100" t="s">
        <v>149</v>
      </c>
      <c r="C13" s="273">
        <f>Inputs!F22</f>
        <v>0</v>
      </c>
      <c r="D13" s="93"/>
      <c r="E13" s="95">
        <f>Inputs!F23</f>
        <v>0</v>
      </c>
      <c r="F13" s="93" t="s">
        <v>2</v>
      </c>
      <c r="G13" s="137"/>
      <c r="H13" s="176">
        <f>C13*E13</f>
        <v>0</v>
      </c>
      <c r="I13" s="170">
        <f>IF($C$4=0,"",H13/$C$4)</f>
        <v>0</v>
      </c>
      <c r="J13" s="312"/>
      <c r="K13" s="312"/>
      <c r="L13" s="312"/>
      <c r="M13" s="312"/>
      <c r="N13" s="312"/>
      <c r="O13" s="312"/>
      <c r="P13" s="312"/>
      <c r="Q13" s="312"/>
      <c r="R13" s="312"/>
      <c r="S13" s="312"/>
      <c r="T13" s="312"/>
      <c r="U13" s="312"/>
      <c r="V13" s="312"/>
      <c r="W13" s="312"/>
      <c r="X13" s="203"/>
      <c r="Y13" s="203"/>
      <c r="Z13" s="203"/>
      <c r="AA13" s="203"/>
    </row>
    <row r="14" spans="1:27" ht="13.5" customHeight="1">
      <c r="B14" s="92"/>
      <c r="C14" s="74"/>
      <c r="D14" s="93"/>
      <c r="E14" s="93"/>
      <c r="F14" s="93"/>
      <c r="G14" s="93"/>
      <c r="H14" s="256"/>
      <c r="I14" s="171" t="str">
        <f>IF(H14=0,"",H14/$C$4)</f>
        <v/>
      </c>
      <c r="K14" s="317"/>
      <c r="L14" s="385"/>
      <c r="M14" s="317"/>
      <c r="N14" s="332"/>
      <c r="O14" s="332"/>
      <c r="P14" s="332"/>
      <c r="Q14" s="332"/>
      <c r="R14" s="332"/>
      <c r="S14" s="332"/>
      <c r="T14" s="332"/>
      <c r="U14" s="332" t="str">
        <f>IF(Inputs!B32="","",Inputs!B32)</f>
        <v>Grass Hay</v>
      </c>
      <c r="V14" s="332"/>
      <c r="W14" s="332"/>
      <c r="X14" s="205"/>
      <c r="Y14" s="205"/>
      <c r="Z14" s="205"/>
      <c r="AA14" s="205"/>
    </row>
    <row r="15" spans="1:27" s="84" customFormat="1">
      <c r="A15" s="312"/>
      <c r="B15" s="92"/>
      <c r="C15" s="386" t="s">
        <v>150</v>
      </c>
      <c r="D15" s="87"/>
      <c r="E15" s="388" t="s">
        <v>133</v>
      </c>
      <c r="F15" s="93"/>
      <c r="G15" s="93"/>
      <c r="H15" s="254"/>
      <c r="I15" s="255" t="str">
        <f>IF(H15=0,"",H15/$C$4)</f>
        <v/>
      </c>
      <c r="J15" s="312"/>
      <c r="K15" s="317"/>
      <c r="L15" s="385"/>
      <c r="M15" s="317"/>
      <c r="N15" s="332"/>
      <c r="O15" s="332"/>
      <c r="P15" s="332"/>
      <c r="Q15" s="332"/>
      <c r="R15" s="332"/>
      <c r="S15" s="332"/>
      <c r="T15" s="332"/>
      <c r="U15" s="332" t="str">
        <f>IF(Inputs!B33="","",Inputs!B33)</f>
        <v>Alfalfa Hay</v>
      </c>
      <c r="V15" s="332"/>
      <c r="W15" s="332"/>
      <c r="X15" s="205"/>
      <c r="Y15" s="205"/>
      <c r="Z15" s="205"/>
      <c r="AA15" s="205"/>
    </row>
    <row r="16" spans="1:27" ht="29.25" customHeight="1">
      <c r="A16" s="340"/>
      <c r="B16" s="100" t="s">
        <v>8</v>
      </c>
      <c r="C16" s="386"/>
      <c r="D16" s="87"/>
      <c r="E16" s="388"/>
      <c r="F16" s="163" t="s">
        <v>6</v>
      </c>
      <c r="G16" s="248"/>
      <c r="H16" s="253" t="s">
        <v>41</v>
      </c>
      <c r="I16" s="252" t="s">
        <v>41</v>
      </c>
      <c r="K16" s="337"/>
      <c r="L16" s="385"/>
      <c r="M16" s="317"/>
      <c r="N16" s="332"/>
      <c r="O16" s="332"/>
      <c r="P16" s="332"/>
      <c r="Q16" s="332"/>
      <c r="R16" s="332"/>
      <c r="S16" s="332"/>
      <c r="T16" s="332"/>
      <c r="U16" s="332" t="str">
        <f>IF(Inputs!B34="","",Inputs!B34)</f>
        <v>Modified Distillers Grains</v>
      </c>
      <c r="V16" s="332"/>
      <c r="W16" s="332"/>
      <c r="X16" s="205"/>
      <c r="Y16" s="205"/>
      <c r="Z16" s="205"/>
      <c r="AA16" s="205"/>
    </row>
    <row r="17" spans="1:27">
      <c r="B17" s="363"/>
      <c r="C17" s="370"/>
      <c r="D17" s="153" t="str">
        <f t="shared" ref="D17:D22" si="0">IF(B17="","",CONCATENATE(VLOOKUP(B17,Feed,4,FALSE),"s"))</f>
        <v/>
      </c>
      <c r="E17" s="369"/>
      <c r="F17" s="103" t="str">
        <f t="shared" ref="F17:F22" si="1">IF(B17="","",VLOOKUP(B17,Feed,6,FALSE))</f>
        <v/>
      </c>
      <c r="G17" s="179" t="str">
        <f t="shared" ref="G17:G22" si="2">IF(B17="","",CONCATENATE("$ ",VLOOKUP(B17,Feed,4,FALSE)))</f>
        <v/>
      </c>
      <c r="H17" s="223" t="str">
        <f t="shared" ref="H17:H22" si="3">IF(B17="","",C17*F17*IF(E17="per animal",($C$12+$C$13+$C$4)/2,1))</f>
        <v/>
      </c>
      <c r="I17" s="275" t="str">
        <f t="shared" ref="I17:I22" si="4">IF(B17="","",IF($C$4=0,"",H17/$C$4))</f>
        <v/>
      </c>
      <c r="K17" s="342" t="s">
        <v>128</v>
      </c>
      <c r="L17" s="317"/>
      <c r="M17" s="317"/>
      <c r="N17" s="332"/>
      <c r="O17" s="332"/>
      <c r="P17" s="332"/>
      <c r="Q17" s="332"/>
      <c r="R17" s="332"/>
      <c r="S17" s="332"/>
      <c r="T17" s="332"/>
      <c r="U17" s="332" t="str">
        <f>IF(Inputs!B35="","",Inputs!B35)</f>
        <v>Mineral</v>
      </c>
      <c r="V17" s="332"/>
      <c r="W17" s="332"/>
      <c r="X17" s="205"/>
      <c r="Y17" s="205"/>
      <c r="Z17" s="205"/>
      <c r="AA17" s="205"/>
    </row>
    <row r="18" spans="1:27">
      <c r="B18" s="361"/>
      <c r="C18" s="371"/>
      <c r="D18" s="153" t="str">
        <f t="shared" si="0"/>
        <v/>
      </c>
      <c r="E18" s="372"/>
      <c r="F18" s="103" t="str">
        <f t="shared" si="1"/>
        <v/>
      </c>
      <c r="G18" s="179" t="str">
        <f t="shared" si="2"/>
        <v/>
      </c>
      <c r="H18" s="223" t="str">
        <f t="shared" si="3"/>
        <v/>
      </c>
      <c r="I18" s="275" t="str">
        <f t="shared" si="4"/>
        <v/>
      </c>
      <c r="K18" s="342" t="s">
        <v>134</v>
      </c>
      <c r="L18" s="317"/>
      <c r="M18" s="317"/>
      <c r="N18" s="332"/>
      <c r="O18" s="332"/>
      <c r="P18" s="332"/>
      <c r="Q18" s="332"/>
      <c r="R18" s="332"/>
      <c r="S18" s="332"/>
      <c r="T18" s="332"/>
      <c r="U18" s="332" t="str">
        <f>IF(Inputs!B36="","",Inputs!B36)</f>
        <v/>
      </c>
      <c r="V18" s="332"/>
      <c r="W18" s="332"/>
      <c r="X18" s="205"/>
      <c r="Y18" s="205"/>
      <c r="Z18" s="205"/>
      <c r="AA18" s="205"/>
    </row>
    <row r="19" spans="1:27">
      <c r="B19" s="361"/>
      <c r="C19" s="370"/>
      <c r="D19" s="153" t="str">
        <f t="shared" si="0"/>
        <v/>
      </c>
      <c r="E19" s="369"/>
      <c r="F19" s="103" t="str">
        <f t="shared" si="1"/>
        <v/>
      </c>
      <c r="G19" s="179" t="str">
        <f t="shared" si="2"/>
        <v/>
      </c>
      <c r="H19" s="223" t="str">
        <f t="shared" si="3"/>
        <v/>
      </c>
      <c r="I19" s="275" t="str">
        <f t="shared" si="4"/>
        <v/>
      </c>
      <c r="K19" s="317"/>
      <c r="L19" s="317"/>
      <c r="M19" s="317"/>
      <c r="N19" s="332"/>
      <c r="O19" s="332"/>
      <c r="P19" s="332"/>
      <c r="Q19" s="332"/>
      <c r="R19" s="332"/>
      <c r="S19" s="332"/>
      <c r="T19" s="332"/>
      <c r="U19" s="332" t="str">
        <f>IF(Inputs!B37="","",Inputs!B37)</f>
        <v/>
      </c>
      <c r="V19" s="332"/>
      <c r="W19" s="332"/>
      <c r="X19" s="205"/>
      <c r="Y19" s="205"/>
      <c r="Z19" s="205"/>
      <c r="AA19" s="205"/>
    </row>
    <row r="20" spans="1:27">
      <c r="B20" s="361"/>
      <c r="C20" s="370"/>
      <c r="D20" s="153" t="str">
        <f t="shared" si="0"/>
        <v/>
      </c>
      <c r="E20" s="369"/>
      <c r="F20" s="103" t="str">
        <f t="shared" si="1"/>
        <v/>
      </c>
      <c r="G20" s="179" t="str">
        <f t="shared" si="2"/>
        <v/>
      </c>
      <c r="H20" s="223" t="str">
        <f t="shared" si="3"/>
        <v/>
      </c>
      <c r="I20" s="275" t="str">
        <f t="shared" si="4"/>
        <v/>
      </c>
      <c r="K20" s="317"/>
      <c r="L20" s="317"/>
      <c r="M20" s="317"/>
      <c r="N20" s="332"/>
      <c r="O20" s="332"/>
      <c r="P20" s="332"/>
      <c r="Q20" s="332"/>
      <c r="R20" s="332"/>
      <c r="S20" s="332"/>
      <c r="T20" s="332"/>
      <c r="U20" s="332" t="str">
        <f>IF(Inputs!B38="","",Inputs!B38)</f>
        <v/>
      </c>
      <c r="V20" s="332"/>
      <c r="W20" s="332"/>
      <c r="X20" s="205"/>
      <c r="Y20" s="205"/>
      <c r="Z20" s="205"/>
      <c r="AA20" s="205"/>
    </row>
    <row r="21" spans="1:27">
      <c r="B21" s="361"/>
      <c r="C21" s="370"/>
      <c r="D21" s="153" t="str">
        <f t="shared" si="0"/>
        <v/>
      </c>
      <c r="E21" s="369"/>
      <c r="F21" s="103" t="str">
        <f t="shared" si="1"/>
        <v/>
      </c>
      <c r="G21" s="179" t="str">
        <f t="shared" si="2"/>
        <v/>
      </c>
      <c r="H21" s="223" t="str">
        <f t="shared" si="3"/>
        <v/>
      </c>
      <c r="I21" s="275" t="str">
        <f t="shared" si="4"/>
        <v/>
      </c>
      <c r="K21" s="317"/>
      <c r="L21" s="317"/>
      <c r="M21" s="317"/>
      <c r="N21" s="332"/>
      <c r="O21" s="332"/>
      <c r="P21" s="332"/>
      <c r="Q21" s="332"/>
      <c r="R21" s="332"/>
      <c r="S21" s="332"/>
      <c r="T21" s="332"/>
      <c r="U21" s="332" t="str">
        <f>IF(Inputs!B39="","",Inputs!B39)</f>
        <v/>
      </c>
      <c r="V21" s="332"/>
      <c r="W21" s="332"/>
      <c r="X21" s="205"/>
      <c r="Y21" s="205"/>
      <c r="Z21" s="205"/>
      <c r="AA21" s="205"/>
    </row>
    <row r="22" spans="1:27" ht="13.5" thickBot="1">
      <c r="B22" s="361"/>
      <c r="C22" s="370" t="s">
        <v>12</v>
      </c>
      <c r="D22" s="153" t="str">
        <f t="shared" si="0"/>
        <v/>
      </c>
      <c r="E22" s="369"/>
      <c r="F22" s="103" t="str">
        <f t="shared" si="1"/>
        <v/>
      </c>
      <c r="G22" s="179" t="str">
        <f t="shared" si="2"/>
        <v/>
      </c>
      <c r="H22" s="227" t="str">
        <f t="shared" si="3"/>
        <v/>
      </c>
      <c r="I22" s="276" t="str">
        <f t="shared" si="4"/>
        <v/>
      </c>
      <c r="K22" s="317"/>
      <c r="L22" s="317"/>
      <c r="M22" s="317"/>
      <c r="N22" s="332"/>
      <c r="O22" s="332"/>
      <c r="P22" s="332"/>
      <c r="Q22" s="332"/>
      <c r="R22" s="332"/>
      <c r="S22" s="332"/>
      <c r="T22" s="332"/>
      <c r="U22" s="332" t="str">
        <f>IF(Inputs!B40="","",Inputs!B40)</f>
        <v/>
      </c>
      <c r="V22" s="332"/>
      <c r="W22" s="332"/>
      <c r="X22" s="205"/>
      <c r="Y22" s="205"/>
      <c r="Z22" s="205"/>
      <c r="AA22" s="205"/>
    </row>
    <row r="23" spans="1:27" ht="13.5" thickTop="1">
      <c r="B23" s="92"/>
      <c r="C23" s="130"/>
      <c r="D23" s="93"/>
      <c r="E23" s="105"/>
      <c r="G23" s="105" t="s">
        <v>47</v>
      </c>
      <c r="H23" s="177">
        <f>SUM(H17:H22)</f>
        <v>0</v>
      </c>
      <c r="I23" s="172">
        <f>SUM(I17:I22)</f>
        <v>0</v>
      </c>
      <c r="K23" s="332"/>
      <c r="L23" s="332"/>
      <c r="M23" s="332"/>
      <c r="N23" s="332"/>
      <c r="O23" s="332"/>
      <c r="P23" s="332"/>
      <c r="Q23" s="332"/>
      <c r="R23" s="332"/>
      <c r="S23" s="332"/>
      <c r="T23" s="332"/>
      <c r="U23" s="332" t="str">
        <f>IF(Inputs!B41="","",Inputs!B41)</f>
        <v/>
      </c>
      <c r="V23" s="332"/>
      <c r="W23" s="332"/>
      <c r="X23" s="205"/>
      <c r="Y23" s="205"/>
      <c r="Z23" s="205"/>
      <c r="AA23" s="205"/>
    </row>
    <row r="24" spans="1:27">
      <c r="A24" s="317"/>
      <c r="B24" s="92"/>
      <c r="C24" s="74"/>
      <c r="D24" s="93"/>
      <c r="E24" s="93"/>
      <c r="F24" s="93"/>
      <c r="G24" s="93"/>
      <c r="H24" s="175"/>
      <c r="I24" s="169" t="str">
        <f>IF(H24=0,"",H24/$C$4)</f>
        <v/>
      </c>
      <c r="K24" s="332"/>
      <c r="L24" s="332"/>
      <c r="M24" s="332"/>
      <c r="N24" s="332"/>
      <c r="O24" s="332"/>
      <c r="P24" s="332"/>
      <c r="Q24" s="332"/>
      <c r="R24" s="332"/>
      <c r="S24" s="332"/>
      <c r="T24" s="332"/>
      <c r="U24" s="332"/>
      <c r="V24" s="332"/>
      <c r="W24" s="332"/>
      <c r="X24" s="205"/>
      <c r="Y24" s="205"/>
      <c r="Z24" s="205"/>
      <c r="AA24" s="205"/>
    </row>
    <row r="25" spans="1:27">
      <c r="B25" s="134" t="s">
        <v>60</v>
      </c>
      <c r="C25" s="183"/>
      <c r="D25" s="87"/>
      <c r="E25" s="82" t="s">
        <v>64</v>
      </c>
      <c r="F25" s="82"/>
      <c r="G25" s="138"/>
      <c r="H25" s="249" t="s">
        <v>41</v>
      </c>
      <c r="I25" s="250" t="s">
        <v>41</v>
      </c>
      <c r="J25" s="317"/>
      <c r="K25" s="332"/>
      <c r="L25" s="332"/>
      <c r="M25" s="332"/>
      <c r="N25" s="332"/>
      <c r="O25" s="332"/>
      <c r="P25" s="332"/>
      <c r="Q25" s="332"/>
      <c r="R25" s="332"/>
      <c r="S25" s="332"/>
      <c r="T25" s="332"/>
      <c r="U25" s="332"/>
      <c r="V25" s="332"/>
      <c r="W25" s="332"/>
      <c r="X25" s="205"/>
      <c r="Y25" s="205"/>
      <c r="Z25" s="205"/>
      <c r="AA25" s="205"/>
    </row>
    <row r="26" spans="1:27">
      <c r="B26" s="92" t="s">
        <v>13</v>
      </c>
      <c r="C26" s="73"/>
      <c r="D26" s="87"/>
      <c r="E26" s="291">
        <f>IF($H$8=0,0,IF(B26="","",IF(VLOOKUP(B26,NonFeed,3,FALSE)="",$H$8/($H$8+Flock!$H$10),VLOOKUP(B26,NonFeed,5,FALSE))))</f>
        <v>0</v>
      </c>
      <c r="F26" s="93"/>
      <c r="G26" s="137"/>
      <c r="H26" s="175">
        <f>IF(B26="","",VLOOKUP(B26,NonFeed,2,FALSE)*E26*IF(VLOOKUP(B26,NonFeed,3,FALSE)="per animal",('Finish Lambs'!$C$4+'Finish Lambs'!$C$12+'Finish Lambs'!$C$13)/2,1))</f>
        <v>0</v>
      </c>
      <c r="I26" s="275">
        <f>IF(B26="","",IF($C$4=0,"",H26/$C$4))</f>
        <v>0</v>
      </c>
      <c r="K26" s="332"/>
      <c r="L26" s="332"/>
      <c r="M26" s="332"/>
      <c r="N26" s="332"/>
      <c r="O26" s="332"/>
      <c r="P26" s="332"/>
      <c r="Q26" s="332"/>
      <c r="R26" s="332"/>
      <c r="S26" s="332"/>
      <c r="T26" s="332"/>
      <c r="U26" s="332"/>
      <c r="V26" s="332"/>
      <c r="W26" s="332"/>
      <c r="X26" s="205"/>
      <c r="Y26" s="205"/>
      <c r="Z26" s="205"/>
      <c r="AA26" s="205"/>
    </row>
    <row r="27" spans="1:27">
      <c r="B27" s="92" t="s">
        <v>14</v>
      </c>
      <c r="C27" s="73"/>
      <c r="D27" s="87"/>
      <c r="E27" s="291">
        <f>IF($H$8=0,0,IF(B27="","",IF(VLOOKUP(B27,NonFeed,3,FALSE)="",$H$8/($H$8+Flock!$H$10),VLOOKUP(B27,NonFeed,5,FALSE))))</f>
        <v>0</v>
      </c>
      <c r="F27" s="93"/>
      <c r="G27" s="137"/>
      <c r="H27" s="175">
        <f>IF(B27="","",VLOOKUP(B27,NonFeed,2,FALSE)*E27*IF(VLOOKUP(B27,NonFeed,3,FALSE)="per animal",('Finish Lambs'!$C$4+'Finish Lambs'!$C$12+'Finish Lambs'!$C$13)/2,1))</f>
        <v>0</v>
      </c>
      <c r="I27" s="275">
        <f t="shared" ref="I27:I33" si="5">IF(B27="","",IF($C$4=0,"",H27/$C$4))</f>
        <v>0</v>
      </c>
      <c r="K27" s="332"/>
      <c r="L27" s="332"/>
      <c r="M27" s="332"/>
      <c r="N27" s="332"/>
      <c r="O27" s="332"/>
      <c r="P27" s="332"/>
      <c r="Q27" s="332"/>
      <c r="R27" s="332"/>
      <c r="S27" s="332"/>
      <c r="T27" s="332"/>
      <c r="U27" s="332"/>
      <c r="V27" s="332"/>
      <c r="W27" s="332"/>
      <c r="X27" s="205"/>
      <c r="Y27" s="205"/>
      <c r="Z27" s="205"/>
      <c r="AA27" s="205"/>
    </row>
    <row r="28" spans="1:27">
      <c r="B28" s="92" t="s">
        <v>15</v>
      </c>
      <c r="C28" s="73"/>
      <c r="D28" s="87"/>
      <c r="E28" s="291">
        <f>IF($H$8=0,0,IF(B28="","",IF(VLOOKUP(B28,NonFeed,3,FALSE)="",$H$8/($H$8+Flock!$H$10),VLOOKUP(B28,NonFeed,5,FALSE))))</f>
        <v>0</v>
      </c>
      <c r="F28" s="93"/>
      <c r="G28" s="137"/>
      <c r="H28" s="175">
        <f>IF(B28="","",VLOOKUP(B28,NonFeed,2,FALSE)*E28*IF(VLOOKUP(B28,NonFeed,3,FALSE)="per animal",('Finish Lambs'!$C$4+'Finish Lambs'!$C$12+'Finish Lambs'!$C$13)/2,1))</f>
        <v>0</v>
      </c>
      <c r="I28" s="275">
        <f t="shared" si="5"/>
        <v>0</v>
      </c>
      <c r="K28" s="332"/>
      <c r="L28" s="332"/>
      <c r="M28" s="332"/>
      <c r="N28" s="332"/>
      <c r="O28" s="332"/>
      <c r="P28" s="332"/>
      <c r="Q28" s="332"/>
      <c r="R28" s="332"/>
      <c r="S28" s="332"/>
      <c r="T28" s="332"/>
      <c r="U28" s="332"/>
      <c r="V28" s="332"/>
      <c r="W28" s="332"/>
      <c r="X28" s="205"/>
      <c r="Y28" s="205"/>
      <c r="Z28" s="205"/>
      <c r="AA28" s="205"/>
    </row>
    <row r="29" spans="1:27">
      <c r="B29" s="92" t="s">
        <v>101</v>
      </c>
      <c r="C29" s="184"/>
      <c r="D29" s="87"/>
      <c r="E29" s="291">
        <f>IF($H$8=0,0,IF(B29="","",IF(VLOOKUP(B29,NonFeed,3,FALSE)="",$H$8/($H$8+Flock!$H$10),VLOOKUP(B29,NonFeed,5,FALSE))))</f>
        <v>0.48818287485470746</v>
      </c>
      <c r="F29" s="93"/>
      <c r="G29" s="137"/>
      <c r="H29" s="175">
        <f>IF(B29="","",VLOOKUP(B29,NonFeed,2,FALSE)*E29*IF(VLOOKUP(B29,NonFeed,3,FALSE)="per animal",('Finish Lambs'!$C$4+'Finish Lambs'!$C$12+'Finish Lambs'!$C$13)/2,1))</f>
        <v>0</v>
      </c>
      <c r="I29" s="275">
        <f t="shared" si="5"/>
        <v>0</v>
      </c>
      <c r="K29" s="332"/>
      <c r="L29" s="332"/>
      <c r="M29" s="332"/>
      <c r="N29" s="332"/>
      <c r="O29" s="332"/>
      <c r="P29" s="332"/>
      <c r="Q29" s="332"/>
      <c r="R29" s="332"/>
      <c r="S29" s="332"/>
      <c r="T29" s="332"/>
      <c r="U29" s="332" t="str">
        <f>IF(Inputs!B53="","",Inputs!B53)</f>
        <v/>
      </c>
      <c r="V29" s="332"/>
      <c r="W29" s="332"/>
      <c r="X29" s="205"/>
      <c r="Y29" s="205"/>
      <c r="Z29" s="205"/>
      <c r="AA29" s="205"/>
    </row>
    <row r="30" spans="1:27">
      <c r="B30" s="364"/>
      <c r="C30" s="95"/>
      <c r="D30" s="87"/>
      <c r="E30" s="291" t="str">
        <f>IF($H$8=0,0,IF(B30="","",IF(VLOOKUP(B30,NonFeed,3,FALSE)="",$H$8/($H$8+Flock!$H$10),VLOOKUP(B30,NonFeed,5,FALSE))))</f>
        <v/>
      </c>
      <c r="F30" s="93"/>
      <c r="G30" s="137"/>
      <c r="H30" s="175" t="str">
        <f>IF(B30="","",VLOOKUP(B30,NonFeed,2,FALSE)*E30*IF(VLOOKUP(B30,NonFeed,3,FALSE)="per animal",('Finish Lambs'!$C$4+'Finish Lambs'!$C$12+'Finish Lambs'!$C$13)/2,1))</f>
        <v/>
      </c>
      <c r="I30" s="275" t="str">
        <f t="shared" si="5"/>
        <v/>
      </c>
      <c r="K30" s="332"/>
      <c r="L30" s="332"/>
      <c r="M30" s="332"/>
      <c r="N30" s="332"/>
      <c r="O30" s="332"/>
      <c r="P30" s="332"/>
      <c r="Q30" s="332"/>
      <c r="R30" s="332"/>
      <c r="S30" s="332"/>
      <c r="T30" s="332"/>
      <c r="U30" s="332" t="str">
        <f>IF(Inputs!B54="","",Inputs!B54)</f>
        <v/>
      </c>
      <c r="V30" s="332"/>
      <c r="W30" s="332"/>
      <c r="X30" s="205"/>
      <c r="Y30" s="205"/>
      <c r="Z30" s="205"/>
      <c r="AA30" s="205"/>
    </row>
    <row r="31" spans="1:27">
      <c r="B31" s="364"/>
      <c r="C31" s="95" t="s">
        <v>12</v>
      </c>
      <c r="D31" s="87"/>
      <c r="E31" s="291" t="str">
        <f>IF($H$8=0,0,IF(B31="","",IF(VLOOKUP(B31,NonFeed,3,FALSE)="",$H$8/($H$8+Flock!$H$10),VLOOKUP(B31,NonFeed,5,FALSE))))</f>
        <v/>
      </c>
      <c r="F31" s="93" t="s">
        <v>12</v>
      </c>
      <c r="G31" s="137"/>
      <c r="H31" s="175" t="str">
        <f>IF(B31="","",VLOOKUP(B31,NonFeed,2,FALSE)*E31*IF(VLOOKUP(B31,NonFeed,3,FALSE)="per animal",('Finish Lambs'!$C$4+'Finish Lambs'!$C$12+'Finish Lambs'!$C$13)/2,1))</f>
        <v/>
      </c>
      <c r="I31" s="275" t="str">
        <f t="shared" si="5"/>
        <v/>
      </c>
      <c r="K31" s="332"/>
      <c r="L31" s="332"/>
      <c r="M31" s="332"/>
      <c r="N31" s="332"/>
      <c r="O31" s="332"/>
      <c r="P31" s="332"/>
      <c r="Q31" s="332"/>
      <c r="R31" s="332"/>
      <c r="S31" s="332"/>
      <c r="T31" s="332"/>
      <c r="U31" s="332" t="str">
        <f>IF(Inputs!B55="","",Inputs!B55)</f>
        <v/>
      </c>
      <c r="V31" s="332"/>
      <c r="W31" s="332"/>
      <c r="X31" s="205"/>
      <c r="Y31" s="205"/>
      <c r="Z31" s="205"/>
      <c r="AA31" s="205"/>
    </row>
    <row r="32" spans="1:27">
      <c r="B32" s="364"/>
      <c r="C32" s="95" t="s">
        <v>12</v>
      </c>
      <c r="D32" s="87"/>
      <c r="E32" s="291" t="str">
        <f>IF($H$8=0,0,IF(B32="","",IF(VLOOKUP(B32,NonFeed,3,FALSE)="",$H$8/($H$8+Flock!$H$10),VLOOKUP(B32,NonFeed,5,FALSE))))</f>
        <v/>
      </c>
      <c r="F32" s="93"/>
      <c r="G32" s="137"/>
      <c r="H32" s="175" t="str">
        <f>IF(B32="","",VLOOKUP(B32,NonFeed,2,FALSE)*E32*IF(VLOOKUP(B32,NonFeed,3,FALSE)="per animal",('Finish Lambs'!$C$4+'Finish Lambs'!$C$12+'Finish Lambs'!$C$13)/2,1))</f>
        <v/>
      </c>
      <c r="I32" s="275" t="str">
        <f t="shared" si="5"/>
        <v/>
      </c>
      <c r="K32" s="332"/>
      <c r="L32" s="332"/>
      <c r="M32" s="332"/>
      <c r="N32" s="332"/>
      <c r="O32" s="332"/>
      <c r="P32" s="332"/>
      <c r="Q32" s="332"/>
      <c r="R32" s="332"/>
      <c r="S32" s="332"/>
      <c r="T32" s="332"/>
      <c r="U32" s="332" t="str">
        <f>IF(Inputs!B56="","",Inputs!B56)</f>
        <v/>
      </c>
      <c r="V32" s="332"/>
      <c r="W32" s="332"/>
      <c r="X32" s="205"/>
      <c r="Y32" s="205"/>
      <c r="Z32" s="205"/>
      <c r="AA32" s="205"/>
    </row>
    <row r="33" spans="2:27">
      <c r="B33" s="361" t="s">
        <v>12</v>
      </c>
      <c r="C33" s="95" t="s">
        <v>12</v>
      </c>
      <c r="E33" s="291" t="str">
        <f>IF($H$8=0,0,IF(B33="","",IF(VLOOKUP(B33,NonFeed,3,FALSE)="",$H$8/($H$8+Flock!$H$10),VLOOKUP(B33,NonFeed,5,FALSE))))</f>
        <v/>
      </c>
      <c r="F33" s="93" t="s">
        <v>12</v>
      </c>
      <c r="G33" s="137"/>
      <c r="H33" s="175" t="str">
        <f>IF(B33="","",VLOOKUP(B33,NonFeed,2,FALSE)*E33*IF(VLOOKUP(B33,NonFeed,3,FALSE)="per animal",('Finish Lambs'!$C$4+'Finish Lambs'!$C$12+'Finish Lambs'!$C$13)/2,1))</f>
        <v/>
      </c>
      <c r="I33" s="275" t="str">
        <f t="shared" si="5"/>
        <v/>
      </c>
      <c r="K33" s="332"/>
      <c r="L33" s="332"/>
      <c r="M33" s="332"/>
      <c r="N33" s="332"/>
      <c r="O33" s="332"/>
      <c r="P33" s="332"/>
      <c r="Q33" s="332"/>
      <c r="R33" s="332"/>
      <c r="S33" s="332"/>
      <c r="T33" s="332"/>
      <c r="U33" s="332" t="str">
        <f>IF(Inputs!B57="","",Inputs!B57)</f>
        <v/>
      </c>
      <c r="V33" s="332"/>
      <c r="W33" s="332"/>
      <c r="X33" s="205"/>
      <c r="Y33" s="205"/>
      <c r="Z33" s="205"/>
      <c r="AA33" s="205"/>
    </row>
    <row r="34" spans="2:27" ht="13.5" thickBot="1">
      <c r="B34" s="92" t="s">
        <v>48</v>
      </c>
      <c r="C34" s="74"/>
      <c r="D34" s="93"/>
      <c r="E34" s="93"/>
      <c r="F34" s="93"/>
      <c r="G34" s="137"/>
      <c r="H34" s="83">
        <f>(SUM(H23,H26:H28,H30:H33,F40:F45)/2+H12)*Inputs!D74*Inputs!F24/365</f>
        <v>0</v>
      </c>
      <c r="I34" s="161">
        <f>IF(C4=0,0,IF(H34="","",H34/$C$4))</f>
        <v>0</v>
      </c>
      <c r="K34" s="332"/>
      <c r="L34" s="332"/>
      <c r="M34" s="332"/>
      <c r="N34" s="332"/>
      <c r="O34" s="332"/>
      <c r="P34" s="332"/>
      <c r="Q34" s="332"/>
      <c r="R34" s="332"/>
      <c r="S34" s="332"/>
      <c r="T34" s="332"/>
      <c r="U34" s="332" t="str">
        <f>IF(Inputs!B58="","",Inputs!B58)</f>
        <v/>
      </c>
      <c r="V34" s="332"/>
      <c r="W34" s="332"/>
      <c r="X34" s="205"/>
      <c r="Y34" s="205"/>
      <c r="Z34" s="205"/>
      <c r="AA34" s="205"/>
    </row>
    <row r="35" spans="2:27" ht="14.25" thickTop="1" thickBot="1">
      <c r="B35" s="92"/>
      <c r="C35" s="74"/>
      <c r="D35" s="105"/>
      <c r="E35" s="105"/>
      <c r="G35" s="105" t="s">
        <v>61</v>
      </c>
      <c r="H35" s="177">
        <f>SUM(H26:H34)</f>
        <v>0</v>
      </c>
      <c r="I35" s="172">
        <f>IF(C4=0,0,IF(H35="","",H35/$C$4))</f>
        <v>0</v>
      </c>
      <c r="K35" s="332"/>
      <c r="L35" s="332"/>
      <c r="M35" s="332"/>
      <c r="N35" s="332"/>
      <c r="O35" s="332"/>
      <c r="P35" s="332"/>
      <c r="Q35" s="332"/>
      <c r="R35" s="332"/>
      <c r="S35" s="332"/>
      <c r="T35" s="332"/>
      <c r="U35" s="332" t="str">
        <f>IF(Inputs!B59="","",Inputs!B59)</f>
        <v/>
      </c>
      <c r="V35" s="332"/>
      <c r="W35" s="332"/>
      <c r="X35" s="205"/>
      <c r="Y35" s="205"/>
      <c r="Z35" s="205"/>
      <c r="AA35" s="205"/>
    </row>
    <row r="36" spans="2:27" ht="13.5" thickBot="1">
      <c r="B36" s="290"/>
      <c r="C36" s="185"/>
      <c r="D36" s="86"/>
      <c r="E36" s="86"/>
      <c r="F36" s="86"/>
      <c r="G36" s="62" t="s">
        <v>49</v>
      </c>
      <c r="H36" s="279">
        <f>H12+H23+H35</f>
        <v>18900</v>
      </c>
      <c r="I36" s="303">
        <f>IF(C4=0,0,IF(H36="","",H36/$C$4))</f>
        <v>84</v>
      </c>
      <c r="K36" s="332"/>
      <c r="L36" s="332"/>
      <c r="M36" s="332"/>
      <c r="N36" s="332"/>
      <c r="O36" s="332"/>
      <c r="P36" s="332"/>
      <c r="Q36" s="332"/>
      <c r="R36" s="332"/>
      <c r="S36" s="332"/>
      <c r="T36" s="332"/>
      <c r="U36" s="332"/>
      <c r="V36" s="332"/>
      <c r="W36" s="332"/>
      <c r="X36" s="205"/>
      <c r="Y36" s="205"/>
      <c r="Z36" s="205"/>
      <c r="AA36" s="205"/>
    </row>
    <row r="37" spans="2:27" ht="13.5" thickBot="1">
      <c r="B37" s="93"/>
      <c r="C37" s="93"/>
      <c r="D37" s="93"/>
      <c r="E37" s="93"/>
      <c r="F37" s="105"/>
      <c r="G37" s="105"/>
      <c r="H37" s="109"/>
      <c r="I37" s="173" t="str">
        <f>IF(H37=0,"",H37/$C$4)</f>
        <v/>
      </c>
      <c r="K37" s="332"/>
      <c r="L37" s="332"/>
      <c r="M37" s="332"/>
      <c r="N37" s="332"/>
      <c r="O37" s="332"/>
      <c r="P37" s="332"/>
      <c r="Q37" s="332"/>
      <c r="R37" s="332"/>
      <c r="S37" s="332"/>
      <c r="T37" s="332"/>
      <c r="U37" s="332"/>
      <c r="V37" s="332"/>
      <c r="W37" s="332"/>
      <c r="X37" s="205"/>
      <c r="Y37" s="205"/>
      <c r="Z37" s="205"/>
      <c r="AA37" s="205"/>
    </row>
    <row r="38" spans="2:27" ht="26.25" thickBot="1">
      <c r="B38" s="85" t="s">
        <v>50</v>
      </c>
      <c r="C38" s="221"/>
      <c r="D38" s="222"/>
      <c r="E38" s="222"/>
      <c r="F38" s="222"/>
      <c r="G38" s="222"/>
      <c r="H38" s="221" t="s">
        <v>137</v>
      </c>
      <c r="I38" s="287" t="s">
        <v>126</v>
      </c>
      <c r="K38" s="332"/>
      <c r="L38" s="332"/>
      <c r="M38" s="332"/>
      <c r="N38" s="332"/>
      <c r="O38" s="332"/>
      <c r="P38" s="332"/>
      <c r="Q38" s="332"/>
      <c r="R38" s="332"/>
      <c r="S38" s="332"/>
      <c r="T38" s="332"/>
      <c r="U38" s="332"/>
      <c r="V38" s="332"/>
      <c r="W38" s="332"/>
      <c r="X38" s="205"/>
      <c r="Y38" s="205"/>
      <c r="Z38" s="205"/>
      <c r="AA38" s="205"/>
    </row>
    <row r="39" spans="2:27" ht="25.5">
      <c r="B39" s="134" t="s">
        <v>51</v>
      </c>
      <c r="C39" s="74"/>
      <c r="D39" s="82" t="s">
        <v>62</v>
      </c>
      <c r="E39" s="294" t="s">
        <v>74</v>
      </c>
      <c r="F39" s="82" t="s">
        <v>20</v>
      </c>
      <c r="G39" s="138"/>
      <c r="H39" s="180" t="s">
        <v>41</v>
      </c>
      <c r="I39" s="162" t="s">
        <v>41</v>
      </c>
      <c r="K39" s="332"/>
      <c r="L39" s="332"/>
      <c r="M39" s="332"/>
      <c r="N39" s="332"/>
      <c r="O39" s="332"/>
      <c r="P39" s="332"/>
      <c r="Q39" s="332"/>
      <c r="R39" s="332"/>
      <c r="S39" s="332"/>
      <c r="T39" s="332"/>
      <c r="U39" s="332"/>
      <c r="V39" s="332"/>
      <c r="W39" s="332"/>
      <c r="X39" s="205"/>
      <c r="Y39" s="205"/>
      <c r="Z39" s="205"/>
      <c r="AA39" s="205"/>
    </row>
    <row r="40" spans="2:27">
      <c r="B40" s="92" t="s">
        <v>21</v>
      </c>
      <c r="C40" s="74"/>
      <c r="D40" s="102">
        <f>IF($C$4=0,0,IF(B40="","",(VLOOKUP(B40,Depreciable,2,FALSE)-VLOOKUP(B40,Depreciable,3,FALSE))/VLOOKUP(B40,Depreciable,4,FALSE)*IF(VLOOKUP(B40,Depreciable,7,FALSE)="",$H$8/($H$8+Flock!$H$10),VLOOKUP(B40,Depreciable,7,FALSE))))</f>
        <v>0</v>
      </c>
      <c r="E40" s="102">
        <f>IF(B40="","",VLOOKUP(B40,Depreciable,2,FALSE)*Inputs!$D$75*IF(VLOOKUP(B40,Depreciable,7,FALSE)="",'Finish Lambs'!$H$8/('Finish Lambs'!$H$8+Flock!$H$10),VLOOKUP(B40,Depreciable,7,FALSE)))</f>
        <v>0</v>
      </c>
      <c r="F40" s="102">
        <f>IF(B40="","",VLOOKUP(B40,Depreciable,5,FALSE)*IF(VLOOKUP(B40,Depreciable,7,FALSE)="",$H$8/($H$8+Flock!$H$10),VLOOKUP(B40,Depreciable,7,FALSE)))</f>
        <v>0</v>
      </c>
      <c r="G40" s="175"/>
      <c r="H40" s="175">
        <f t="shared" ref="H40:H45" si="6">SUM(D40:F40)</f>
        <v>0</v>
      </c>
      <c r="I40" s="275">
        <f t="shared" ref="I40:I45" si="7">IF(B40="","",IF($C$4=0,"",H40/$C$4))</f>
        <v>0</v>
      </c>
      <c r="K40" s="332"/>
      <c r="L40" s="332"/>
      <c r="M40" s="332"/>
      <c r="N40" s="332"/>
      <c r="O40" s="332"/>
      <c r="P40" s="332"/>
      <c r="Q40" s="332"/>
      <c r="R40" s="332"/>
      <c r="S40" s="332"/>
      <c r="T40" s="332"/>
      <c r="U40" s="332"/>
      <c r="V40" s="332"/>
      <c r="W40" s="332"/>
      <c r="X40" s="205"/>
      <c r="Y40" s="205"/>
      <c r="Z40" s="205"/>
      <c r="AA40" s="205"/>
    </row>
    <row r="41" spans="2:27">
      <c r="B41" s="92" t="s">
        <v>22</v>
      </c>
      <c r="C41" s="74"/>
      <c r="D41" s="102">
        <f>IF($H$8=0,0,IF(B41="","",(VLOOKUP(B41,Depreciable,2,FALSE)-VLOOKUP(B41,Depreciable,3,FALSE))/VLOOKUP(B41,Depreciable,4,FALSE)*IF(VLOOKUP(B41,Depreciable,7,FALSE)="",$H$8/($H$8+Flock!$H$10),VLOOKUP(B41,Depreciable,7,FALSE))))</f>
        <v>0</v>
      </c>
      <c r="E41" s="102">
        <f>IF(B41="","",VLOOKUP(B41,Depreciable,2,FALSE)*Inputs!$D$75*IF(VLOOKUP(B41,Depreciable,7,FALSE)="",'Finish Lambs'!$H$8/('Finish Lambs'!$H$8+Flock!$H$10),VLOOKUP(B41,Depreciable,7,FALSE)))</f>
        <v>0</v>
      </c>
      <c r="F41" s="102">
        <f>IF(B41="","",VLOOKUP(B41,Depreciable,5,FALSE)*IF(VLOOKUP(B41,Depreciable,7,FALSE)="",$H$8/($H$8+Flock!$H$10),VLOOKUP(B41,Depreciable,7,FALSE)))</f>
        <v>0</v>
      </c>
      <c r="G41" s="175"/>
      <c r="H41" s="175">
        <f t="shared" si="6"/>
        <v>0</v>
      </c>
      <c r="I41" s="275">
        <f t="shared" si="7"/>
        <v>0</v>
      </c>
      <c r="K41" s="332"/>
      <c r="L41" s="332"/>
      <c r="M41" s="332"/>
      <c r="N41" s="332"/>
      <c r="O41" s="332"/>
      <c r="P41" s="332"/>
      <c r="Q41" s="332"/>
      <c r="R41" s="332"/>
      <c r="S41" s="332"/>
      <c r="T41" s="332"/>
      <c r="U41" s="332" t="str">
        <f>IF(Inputs!B67="","",Inputs!B67)</f>
        <v/>
      </c>
      <c r="V41" s="332"/>
      <c r="W41" s="332"/>
      <c r="X41" s="205"/>
      <c r="Y41" s="205"/>
      <c r="Z41" s="205"/>
      <c r="AA41" s="205"/>
    </row>
    <row r="42" spans="2:27">
      <c r="B42" s="361"/>
      <c r="C42" s="93"/>
      <c r="D42" s="102" t="str">
        <f>IF(B42="","",(VLOOKUP(B42,Depreciable,2,FALSE)-VLOOKUP(B42,Depreciable,3,FALSE))/VLOOKUP(B42,Depreciable,4,FALSE)*IF(VLOOKUP(B42,Depreciable,7,FALSE)="",$H$8/($H$8+Flock!$H$10),VLOOKUP(B42,Depreciable,7,FALSE)))</f>
        <v/>
      </c>
      <c r="E42" s="102" t="str">
        <f>IF(B42="","",VLOOKUP(B42,Depreciable,2,FALSE)*Inputs!$D$75*IF(VLOOKUP(B42,Depreciable,7,FALSE)="",'Finish Lambs'!$H$8/('Finish Lambs'!$H$8+Flock!$H$10),VLOOKUP(B42,Depreciable,7,FALSE)))</f>
        <v/>
      </c>
      <c r="F42" s="102" t="str">
        <f>IF(B42="","",VLOOKUP(B42,Depreciable,5,FALSE)*IF(VLOOKUP(B42,Depreciable,7,FALSE)="",$H$8/($H$8+Flock!$H$10),VLOOKUP(B42,Depreciable,7,FALSE)))</f>
        <v/>
      </c>
      <c r="G42" s="175"/>
      <c r="H42" s="175">
        <f t="shared" si="6"/>
        <v>0</v>
      </c>
      <c r="I42" s="275" t="str">
        <f t="shared" si="7"/>
        <v/>
      </c>
      <c r="K42" s="332"/>
      <c r="L42" s="332"/>
      <c r="M42" s="332"/>
      <c r="N42" s="332"/>
      <c r="O42" s="332"/>
      <c r="P42" s="332"/>
      <c r="Q42" s="332"/>
      <c r="R42" s="332"/>
      <c r="S42" s="332"/>
      <c r="T42" s="332"/>
      <c r="U42" s="332" t="str">
        <f>IF(Inputs!B68="","",Inputs!B68)</f>
        <v/>
      </c>
      <c r="V42" s="332"/>
      <c r="W42" s="332"/>
      <c r="X42" s="205"/>
      <c r="Y42" s="205"/>
      <c r="Z42" s="205"/>
      <c r="AA42" s="205"/>
    </row>
    <row r="43" spans="2:27">
      <c r="B43" s="361"/>
      <c r="C43" s="93"/>
      <c r="D43" s="102" t="str">
        <f>IF(B43="","",(VLOOKUP(B43,Depreciable,2,FALSE)-VLOOKUP(B43,Depreciable,3,FALSE))/VLOOKUP(B43,Depreciable,4,FALSE)*IF(VLOOKUP(B43,Depreciable,7,FALSE)="",$H$8/($H$8+Flock!$H$10),VLOOKUP(B43,Depreciable,7,FALSE)))</f>
        <v/>
      </c>
      <c r="E43" s="102" t="str">
        <f>IF(B43="","",VLOOKUP(B43,Depreciable,2,FALSE)*Inputs!$D$75*IF(VLOOKUP(B43,Depreciable,7,FALSE)="",'Finish Lambs'!$H$8/('Finish Lambs'!$H$8+Flock!$H$10),VLOOKUP(B43,Depreciable,7,FALSE)))</f>
        <v/>
      </c>
      <c r="F43" s="102" t="str">
        <f>IF(B43="","",VLOOKUP(B43,Depreciable,5,FALSE)*IF(VLOOKUP(B43,Depreciable,7,FALSE)="",$H$8/($H$8+Flock!$H$10),VLOOKUP(B43,Depreciable,7,FALSE)))</f>
        <v/>
      </c>
      <c r="G43" s="175"/>
      <c r="H43" s="175">
        <f t="shared" si="6"/>
        <v>0</v>
      </c>
      <c r="I43" s="275" t="str">
        <f t="shared" si="7"/>
        <v/>
      </c>
      <c r="K43" s="332"/>
      <c r="L43" s="332"/>
      <c r="M43" s="332"/>
      <c r="N43" s="332"/>
      <c r="O43" s="332"/>
      <c r="P43" s="332"/>
      <c r="Q43" s="332"/>
      <c r="R43" s="332"/>
      <c r="S43" s="332"/>
      <c r="T43" s="332"/>
      <c r="U43" s="332" t="str">
        <f>IF(Inputs!B69="","",Inputs!B69)</f>
        <v/>
      </c>
      <c r="V43" s="332"/>
      <c r="W43" s="332"/>
      <c r="X43" s="205"/>
      <c r="Y43" s="205"/>
      <c r="Z43" s="205"/>
      <c r="AA43" s="205"/>
    </row>
    <row r="44" spans="2:27">
      <c r="B44" s="361"/>
      <c r="C44" s="93"/>
      <c r="D44" s="102" t="str">
        <f>IF(B44="","",(VLOOKUP(B44,Depreciable,2,FALSE)-VLOOKUP(B44,Depreciable,3,FALSE))/VLOOKUP(B44,Depreciable,4,FALSE)*IF(VLOOKUP(B44,Depreciable,7,FALSE)="",$H$8/($H$8+Flock!$H$10),VLOOKUP(B44,Depreciable,7,FALSE)))</f>
        <v/>
      </c>
      <c r="E44" s="102" t="str">
        <f>IF(B44="","",VLOOKUP(B44,Depreciable,2,FALSE)*Inputs!$D$75*IF(VLOOKUP(B44,Depreciable,7,FALSE)="",'Finish Lambs'!$H$8/('Finish Lambs'!$H$8+Flock!$H$10),VLOOKUP(B44,Depreciable,7,FALSE)))</f>
        <v/>
      </c>
      <c r="F44" s="102" t="str">
        <f>IF(B44="","",VLOOKUP(B44,Depreciable,5,FALSE)*IF(VLOOKUP(B44,Depreciable,7,FALSE)="",$H$8/($H$8+Flock!$H$10),VLOOKUP(B44,Depreciable,7,FALSE)))</f>
        <v/>
      </c>
      <c r="G44" s="175"/>
      <c r="H44" s="175">
        <f t="shared" si="6"/>
        <v>0</v>
      </c>
      <c r="I44" s="275" t="str">
        <f t="shared" si="7"/>
        <v/>
      </c>
      <c r="K44" s="332"/>
      <c r="L44" s="332"/>
      <c r="M44" s="332"/>
      <c r="N44" s="332"/>
      <c r="O44" s="332"/>
      <c r="P44" s="332"/>
      <c r="Q44" s="332"/>
      <c r="R44" s="332"/>
      <c r="S44" s="332"/>
      <c r="T44" s="332"/>
      <c r="U44" s="332" t="str">
        <f>IF(Inputs!B70="","",Inputs!B70)</f>
        <v/>
      </c>
      <c r="V44" s="332"/>
      <c r="W44" s="332"/>
      <c r="X44" s="205"/>
      <c r="Y44" s="205"/>
      <c r="Z44" s="205"/>
      <c r="AA44" s="205"/>
    </row>
    <row r="45" spans="2:27" ht="13.5" thickBot="1">
      <c r="B45" s="361"/>
      <c r="C45" s="93"/>
      <c r="D45" s="102" t="str">
        <f>IF(B45="","",(VLOOKUP(B45,Depreciable,2,FALSE)-VLOOKUP(B45,Depreciable,3,FALSE))/VLOOKUP(B45,Depreciable,4,FALSE)*IF(VLOOKUP(B45,Depreciable,7,FALSE)="",$H$8/($H$8+Flock!$H$10),VLOOKUP(B45,Depreciable,7,FALSE)))</f>
        <v/>
      </c>
      <c r="E45" s="102" t="str">
        <f>IF(B45="","",VLOOKUP(B45,Depreciable,2,FALSE)*Inputs!$D$75*IF(VLOOKUP(B45,Depreciable,7,FALSE)="",'Finish Lambs'!$H$8/('Finish Lambs'!$H$8+Flock!$H$10),VLOOKUP(B45,Depreciable,7,FALSE)))</f>
        <v/>
      </c>
      <c r="F45" s="102" t="str">
        <f>IF(B45="","",VLOOKUP(B45,Depreciable,5,FALSE)*IF(VLOOKUP(B45,Depreciable,7,FALSE)="",$H$8/($H$8+Flock!$H$10),VLOOKUP(B45,Depreciable,7,FALSE)))</f>
        <v/>
      </c>
      <c r="G45" s="175"/>
      <c r="H45" s="83">
        <f t="shared" si="6"/>
        <v>0</v>
      </c>
      <c r="I45" s="276" t="str">
        <f t="shared" si="7"/>
        <v/>
      </c>
      <c r="K45" s="332"/>
      <c r="L45" s="332"/>
      <c r="M45" s="332"/>
      <c r="N45" s="332"/>
      <c r="O45" s="332"/>
      <c r="P45" s="332"/>
      <c r="Q45" s="332"/>
      <c r="R45" s="332"/>
      <c r="S45" s="332"/>
      <c r="T45" s="332"/>
      <c r="U45" s="332" t="str">
        <f>IF(Inputs!B71="","",Inputs!B71)</f>
        <v/>
      </c>
      <c r="V45" s="332"/>
      <c r="W45" s="332"/>
      <c r="X45" s="205"/>
      <c r="Y45" s="205"/>
      <c r="Z45" s="205"/>
      <c r="AA45" s="205"/>
    </row>
    <row r="46" spans="2:27" ht="13.5" thickTop="1">
      <c r="B46" s="92"/>
      <c r="C46" s="74"/>
      <c r="E46" s="164"/>
      <c r="F46" s="164"/>
      <c r="G46" s="293" t="s">
        <v>52</v>
      </c>
      <c r="H46" s="178">
        <f>SUM(H40:H45)</f>
        <v>0</v>
      </c>
      <c r="I46" s="158" t="str">
        <f>IF(H46=0,"",H46/$C$4)</f>
        <v/>
      </c>
      <c r="K46" s="332"/>
      <c r="L46" s="332"/>
      <c r="M46" s="332"/>
      <c r="N46" s="332"/>
      <c r="O46" s="332"/>
      <c r="P46" s="332"/>
      <c r="Q46" s="332"/>
      <c r="R46" s="332"/>
      <c r="S46" s="332"/>
      <c r="T46" s="332"/>
      <c r="U46" s="332"/>
      <c r="V46" s="332"/>
      <c r="W46" s="332"/>
      <c r="X46" s="205"/>
      <c r="Y46" s="205"/>
      <c r="Z46" s="205"/>
      <c r="AA46" s="205"/>
    </row>
    <row r="47" spans="2:27">
      <c r="B47" s="92"/>
      <c r="C47" s="74"/>
      <c r="D47" s="93"/>
      <c r="E47" s="93"/>
      <c r="F47" s="93"/>
      <c r="G47" s="93"/>
      <c r="H47" s="179"/>
      <c r="I47" s="169" t="str">
        <f>IF(H47=0,"",H47/$C$4)</f>
        <v/>
      </c>
      <c r="K47" s="332"/>
      <c r="L47" s="332"/>
      <c r="M47" s="332"/>
      <c r="N47" s="332"/>
      <c r="O47" s="332"/>
      <c r="P47" s="332"/>
      <c r="Q47" s="332"/>
      <c r="R47" s="332"/>
      <c r="S47" s="332"/>
      <c r="T47" s="332"/>
      <c r="U47" s="332"/>
      <c r="V47" s="332"/>
      <c r="W47" s="332"/>
      <c r="X47" s="205"/>
      <c r="Y47" s="205"/>
      <c r="Z47" s="205"/>
      <c r="AA47" s="205"/>
    </row>
    <row r="48" spans="2:27">
      <c r="B48" s="134" t="s">
        <v>73</v>
      </c>
      <c r="C48" s="74"/>
      <c r="D48" s="87"/>
      <c r="E48" s="147" t="s">
        <v>64</v>
      </c>
      <c r="F48" s="93"/>
      <c r="G48" s="137"/>
      <c r="H48" s="251" t="s">
        <v>41</v>
      </c>
      <c r="I48" s="252" t="s">
        <v>41</v>
      </c>
      <c r="K48" s="332"/>
      <c r="L48" s="332"/>
      <c r="M48" s="332"/>
      <c r="N48" s="332"/>
      <c r="O48" s="332"/>
      <c r="P48" s="332"/>
      <c r="Q48" s="332"/>
      <c r="R48" s="332"/>
      <c r="S48" s="332"/>
      <c r="T48" s="332"/>
      <c r="U48" s="332"/>
      <c r="V48" s="332"/>
      <c r="W48" s="332"/>
      <c r="X48" s="205"/>
      <c r="Y48" s="205"/>
      <c r="Z48" s="205"/>
      <c r="AA48" s="205"/>
    </row>
    <row r="49" spans="2:27">
      <c r="B49" s="92" t="str">
        <f>Inputs!B78</f>
        <v>Real Estate Value</v>
      </c>
      <c r="C49" s="74"/>
      <c r="D49" s="87"/>
      <c r="E49" s="292">
        <f t="shared" ref="E49:E54" si="8">VLOOKUP(B49,Overhead,6,FALSE)</f>
        <v>0</v>
      </c>
      <c r="F49" s="93"/>
      <c r="G49" s="137"/>
      <c r="H49" s="175">
        <f>IFERROR(E49*Inputs!D78*Inputs!D75,"")</f>
        <v>0</v>
      </c>
      <c r="I49" s="169" t="str">
        <f t="shared" ref="I49:I54" si="9">IF(H49=0,"",IFERROR(H49/$C$4,""))</f>
        <v/>
      </c>
      <c r="K49" s="332"/>
      <c r="L49" s="332"/>
      <c r="M49" s="332"/>
      <c r="N49" s="332"/>
      <c r="O49" s="332"/>
      <c r="P49" s="332"/>
      <c r="Q49" s="332"/>
      <c r="R49" s="332"/>
      <c r="S49" s="332"/>
      <c r="T49" s="332"/>
      <c r="U49" s="332"/>
      <c r="V49" s="332"/>
      <c r="W49" s="332"/>
      <c r="X49" s="205"/>
      <c r="Y49" s="205"/>
      <c r="Z49" s="205"/>
      <c r="AA49" s="205"/>
    </row>
    <row r="50" spans="2:27">
      <c r="B50" s="92" t="str">
        <f>Inputs!B79</f>
        <v>Real Estate Tax</v>
      </c>
      <c r="C50" s="74"/>
      <c r="D50" s="87"/>
      <c r="E50" s="292">
        <f t="shared" si="8"/>
        <v>0</v>
      </c>
      <c r="F50" s="93"/>
      <c r="G50" s="137"/>
      <c r="H50" s="175">
        <f>IFERROR(E50*Inputs!D79*Inputs!D76,"")</f>
        <v>0</v>
      </c>
      <c r="I50" s="169" t="str">
        <f t="shared" si="9"/>
        <v/>
      </c>
      <c r="K50" s="332"/>
      <c r="L50" s="332"/>
      <c r="M50" s="332"/>
      <c r="N50" s="332"/>
      <c r="O50" s="332"/>
      <c r="P50" s="332"/>
      <c r="Q50" s="332"/>
      <c r="R50" s="332"/>
      <c r="S50" s="332"/>
      <c r="T50" s="332"/>
      <c r="U50" s="332"/>
      <c r="V50" s="332"/>
      <c r="W50" s="332"/>
      <c r="X50" s="205"/>
      <c r="Y50" s="205"/>
      <c r="Z50" s="205"/>
      <c r="AA50" s="205"/>
    </row>
    <row r="51" spans="2:27">
      <c r="B51" s="92" t="str">
        <f>Inputs!B80</f>
        <v>Annual Insurance Premium</v>
      </c>
      <c r="C51" s="74"/>
      <c r="D51" s="87"/>
      <c r="E51" s="292">
        <f t="shared" si="8"/>
        <v>0</v>
      </c>
      <c r="F51" s="93"/>
      <c r="G51" s="137"/>
      <c r="H51" s="175">
        <f>IFERROR(E51*Inputs!D80*Inputs!D77,"")</f>
        <v>0</v>
      </c>
      <c r="I51" s="169" t="str">
        <f t="shared" si="9"/>
        <v/>
      </c>
      <c r="K51" s="332"/>
      <c r="L51" s="332"/>
      <c r="M51" s="332"/>
      <c r="N51" s="332"/>
      <c r="O51" s="332"/>
      <c r="P51" s="332"/>
      <c r="Q51" s="332"/>
      <c r="R51" s="332"/>
      <c r="S51" s="332"/>
      <c r="T51" s="332"/>
      <c r="U51" s="332"/>
      <c r="V51" s="332"/>
      <c r="W51" s="332"/>
      <c r="X51" s="205"/>
      <c r="Y51" s="205"/>
      <c r="Z51" s="205"/>
      <c r="AA51" s="205"/>
    </row>
    <row r="52" spans="2:27">
      <c r="B52" s="92" t="str">
        <f>Inputs!B81</f>
        <v>Professional Fees</v>
      </c>
      <c r="C52" s="74"/>
      <c r="D52" s="87"/>
      <c r="E52" s="292">
        <f t="shared" si="8"/>
        <v>0</v>
      </c>
      <c r="F52" s="93"/>
      <c r="G52" s="137"/>
      <c r="H52" s="175">
        <f>IFERROR(E52*Inputs!D81*Inputs!D78,"")</f>
        <v>0</v>
      </c>
      <c r="I52" s="169" t="str">
        <f t="shared" si="9"/>
        <v/>
      </c>
      <c r="K52" s="332"/>
      <c r="L52" s="332"/>
      <c r="M52" s="332"/>
      <c r="N52" s="332"/>
      <c r="O52" s="332"/>
      <c r="P52" s="332"/>
      <c r="Q52" s="332"/>
      <c r="R52" s="332"/>
      <c r="S52" s="332"/>
      <c r="T52" s="332"/>
      <c r="U52" s="332"/>
      <c r="V52" s="332"/>
      <c r="W52" s="332"/>
      <c r="X52" s="205"/>
      <c r="Y52" s="205"/>
      <c r="Z52" s="205"/>
      <c r="AA52" s="205"/>
    </row>
    <row r="53" spans="2:27">
      <c r="B53" s="92" t="str">
        <f>Inputs!B82</f>
        <v>Annual Management Charge</v>
      </c>
      <c r="C53" s="74"/>
      <c r="D53" s="87"/>
      <c r="E53" s="292" t="str">
        <f t="shared" si="8"/>
        <v/>
      </c>
      <c r="F53" s="93"/>
      <c r="G53" s="137"/>
      <c r="H53" s="175" t="str">
        <f>IFERROR(E53*Inputs!D82*Inputs!D79,"")</f>
        <v/>
      </c>
      <c r="I53" s="169" t="str">
        <f t="shared" si="9"/>
        <v/>
      </c>
      <c r="K53" s="332"/>
      <c r="L53" s="332"/>
      <c r="M53" s="332"/>
      <c r="N53" s="332"/>
      <c r="O53" s="332"/>
      <c r="P53" s="332"/>
      <c r="Q53" s="332"/>
      <c r="R53" s="332"/>
      <c r="S53" s="332"/>
      <c r="T53" s="332"/>
      <c r="U53" s="332"/>
      <c r="V53" s="332"/>
      <c r="W53" s="332"/>
      <c r="X53" s="205"/>
      <c r="Y53" s="205"/>
      <c r="Z53" s="205"/>
      <c r="AA53" s="205"/>
    </row>
    <row r="54" spans="2:27">
      <c r="B54" s="92" t="str">
        <f>Inputs!B83</f>
        <v>Other</v>
      </c>
      <c r="C54" s="74"/>
      <c r="E54" s="292" t="str">
        <f t="shared" si="8"/>
        <v/>
      </c>
      <c r="F54" s="93"/>
      <c r="G54" s="137"/>
      <c r="H54" s="175" t="str">
        <f>IFERROR(E54*Inputs!D83*Inputs!D80,"")</f>
        <v/>
      </c>
      <c r="I54" s="169" t="str">
        <f t="shared" si="9"/>
        <v/>
      </c>
      <c r="K54" s="332"/>
      <c r="L54" s="332"/>
      <c r="M54" s="332"/>
      <c r="N54" s="332"/>
      <c r="O54" s="332"/>
      <c r="P54" s="332"/>
      <c r="Q54" s="332"/>
      <c r="R54" s="332"/>
      <c r="S54" s="332"/>
      <c r="T54" s="332"/>
      <c r="U54" s="332"/>
      <c r="V54" s="332"/>
      <c r="W54" s="332"/>
      <c r="X54" s="205"/>
      <c r="Y54" s="205"/>
      <c r="Z54" s="205"/>
      <c r="AA54" s="205"/>
    </row>
    <row r="55" spans="2:27" ht="13.5" thickBot="1">
      <c r="B55" s="96"/>
      <c r="C55" s="77"/>
      <c r="D55" s="97"/>
      <c r="E55" s="97"/>
      <c r="G55" s="107" t="s">
        <v>56</v>
      </c>
      <c r="H55" s="181">
        <f>SUM(H49:H54)</f>
        <v>0</v>
      </c>
      <c r="I55" s="174" t="str">
        <f>IF(H55=0,"",H55/$C$4)</f>
        <v/>
      </c>
      <c r="K55" s="344"/>
      <c r="L55" s="332"/>
      <c r="M55" s="332"/>
      <c r="N55" s="332"/>
      <c r="O55" s="332"/>
      <c r="P55" s="332"/>
      <c r="Q55" s="332"/>
      <c r="R55" s="332"/>
      <c r="S55" s="332"/>
      <c r="T55" s="332"/>
      <c r="U55" s="332"/>
      <c r="V55" s="332"/>
      <c r="W55" s="332"/>
      <c r="X55" s="205"/>
      <c r="Y55" s="205"/>
      <c r="Z55" s="205"/>
      <c r="AA55" s="205"/>
    </row>
    <row r="56" spans="2:27" ht="13.5" thickBot="1">
      <c r="B56" s="189">
        <v>217480.06701030929</v>
      </c>
      <c r="C56" s="185"/>
      <c r="D56" s="86"/>
      <c r="E56" s="86"/>
      <c r="F56" s="86"/>
      <c r="G56" s="62" t="s">
        <v>57</v>
      </c>
      <c r="H56" s="279">
        <f>H46+H55</f>
        <v>0</v>
      </c>
      <c r="I56" s="277" t="str">
        <f>IF(H56=0,"",H56/$C$4)</f>
        <v/>
      </c>
      <c r="J56" s="345"/>
      <c r="K56" s="332"/>
      <c r="L56" s="332"/>
      <c r="M56" s="332"/>
      <c r="N56" s="332"/>
      <c r="O56" s="332"/>
      <c r="P56" s="332"/>
      <c r="Q56" s="332"/>
      <c r="R56" s="332"/>
      <c r="S56" s="332"/>
      <c r="T56" s="332"/>
      <c r="U56" s="332"/>
      <c r="V56" s="332"/>
      <c r="W56" s="332"/>
      <c r="X56" s="205"/>
      <c r="Y56" s="205"/>
      <c r="Z56" s="205"/>
      <c r="AA56" s="205"/>
    </row>
    <row r="57" spans="2:27" ht="13.5" thickBot="1">
      <c r="B57" s="87"/>
      <c r="C57" s="87"/>
      <c r="D57" s="87"/>
      <c r="E57" s="87"/>
      <c r="F57" s="87"/>
      <c r="G57" s="87"/>
      <c r="H57" s="225"/>
      <c r="I57" s="278" t="str">
        <f>IF(H57=0,"",H57/$C$4)</f>
        <v/>
      </c>
      <c r="K57" s="332"/>
      <c r="L57" s="332"/>
      <c r="M57" s="332"/>
      <c r="N57" s="332"/>
      <c r="O57" s="332"/>
      <c r="P57" s="332"/>
      <c r="Q57" s="332"/>
      <c r="R57" s="332"/>
      <c r="S57" s="332"/>
      <c r="T57" s="332"/>
      <c r="U57" s="332"/>
      <c r="V57" s="332"/>
      <c r="W57" s="332"/>
      <c r="X57" s="205"/>
      <c r="Y57" s="205"/>
      <c r="Z57" s="205"/>
      <c r="AA57" s="205"/>
    </row>
    <row r="58" spans="2:27" ht="13.5" thickBot="1">
      <c r="B58" s="187"/>
      <c r="C58" s="185"/>
      <c r="D58" s="122"/>
      <c r="E58" s="122"/>
      <c r="F58" s="122"/>
      <c r="G58" s="62" t="s">
        <v>157</v>
      </c>
      <c r="H58" s="279">
        <f>H36+H56</f>
        <v>18900</v>
      </c>
      <c r="I58" s="277" t="str">
        <f>IFERROR(I36+I56,"")</f>
        <v/>
      </c>
      <c r="K58" s="332"/>
      <c r="L58" s="332"/>
      <c r="M58" s="332"/>
      <c r="N58" s="332"/>
      <c r="O58" s="332"/>
      <c r="P58" s="332"/>
      <c r="Q58" s="332"/>
      <c r="R58" s="332"/>
      <c r="S58" s="332"/>
      <c r="T58" s="332"/>
      <c r="U58" s="332"/>
      <c r="V58" s="332"/>
      <c r="W58" s="332"/>
      <c r="X58" s="205"/>
      <c r="Y58" s="205"/>
      <c r="Z58" s="205"/>
      <c r="AA58" s="205"/>
    </row>
    <row r="59" spans="2:27" ht="13.5" thickBot="1">
      <c r="B59" s="203"/>
      <c r="C59" s="203"/>
      <c r="D59" s="203"/>
      <c r="E59" s="203"/>
      <c r="F59" s="203"/>
      <c r="G59" s="203"/>
      <c r="H59" s="203"/>
      <c r="I59" s="203"/>
      <c r="K59" s="332"/>
      <c r="L59" s="332"/>
      <c r="M59" s="332"/>
      <c r="N59" s="332"/>
      <c r="O59" s="332"/>
      <c r="P59" s="332"/>
      <c r="Q59" s="332"/>
      <c r="R59" s="332"/>
      <c r="S59" s="332"/>
      <c r="T59" s="332"/>
      <c r="U59" s="332"/>
      <c r="V59" s="332"/>
      <c r="W59" s="332"/>
      <c r="X59" s="205"/>
      <c r="Y59" s="205"/>
      <c r="Z59" s="205"/>
      <c r="AA59" s="205"/>
    </row>
    <row r="60" spans="2:27" ht="13.5" thickBot="1">
      <c r="B60" s="187"/>
      <c r="C60" s="185"/>
      <c r="D60" s="122"/>
      <c r="E60" s="122"/>
      <c r="F60" s="122"/>
      <c r="G60" s="62" t="s">
        <v>58</v>
      </c>
      <c r="H60" s="279">
        <f>H8-H58</f>
        <v>0</v>
      </c>
      <c r="I60" s="277" t="str">
        <f>IFERROR(I8-I58,"")</f>
        <v/>
      </c>
      <c r="K60" s="332"/>
      <c r="L60" s="332"/>
      <c r="M60" s="332"/>
      <c r="N60" s="332"/>
      <c r="O60" s="332"/>
      <c r="P60" s="332"/>
      <c r="Q60" s="332"/>
      <c r="R60" s="332"/>
      <c r="S60" s="332"/>
      <c r="T60" s="332"/>
      <c r="U60" s="332"/>
      <c r="V60" s="332"/>
      <c r="W60" s="332"/>
      <c r="X60" s="205"/>
      <c r="Y60" s="205"/>
      <c r="Z60" s="205"/>
      <c r="AA60" s="205"/>
    </row>
    <row r="61" spans="2:27" s="312" customFormat="1">
      <c r="B61" s="317"/>
      <c r="C61" s="317"/>
      <c r="D61" s="317"/>
      <c r="E61" s="317"/>
      <c r="K61" s="332"/>
      <c r="L61" s="332"/>
      <c r="M61" s="332"/>
      <c r="N61" s="332"/>
      <c r="O61" s="332"/>
      <c r="P61" s="332"/>
      <c r="Q61" s="332"/>
      <c r="R61" s="332"/>
      <c r="S61" s="332"/>
      <c r="T61" s="332"/>
      <c r="U61" s="332"/>
      <c r="V61" s="332"/>
      <c r="W61" s="332"/>
      <c r="X61" s="332"/>
      <c r="Y61" s="332"/>
      <c r="Z61" s="332"/>
      <c r="AA61" s="332"/>
    </row>
    <row r="62" spans="2:27" s="312" customFormat="1">
      <c r="B62" s="317"/>
      <c r="C62" s="317"/>
      <c r="D62" s="317"/>
      <c r="E62" s="317"/>
      <c r="K62" s="332"/>
      <c r="L62" s="332"/>
      <c r="M62" s="332"/>
      <c r="N62" s="332"/>
      <c r="O62" s="332"/>
      <c r="P62" s="332"/>
      <c r="Q62" s="332"/>
      <c r="R62" s="332"/>
      <c r="S62" s="332"/>
      <c r="T62" s="332"/>
      <c r="U62" s="332"/>
      <c r="V62" s="332"/>
      <c r="W62" s="332"/>
      <c r="X62" s="332"/>
      <c r="Y62" s="332"/>
      <c r="Z62" s="332"/>
      <c r="AA62" s="332"/>
    </row>
    <row r="63" spans="2:27" s="312" customFormat="1">
      <c r="B63" s="317"/>
      <c r="C63" s="317"/>
      <c r="D63" s="317"/>
      <c r="E63" s="317"/>
      <c r="K63" s="332"/>
      <c r="L63" s="332"/>
      <c r="M63" s="332"/>
      <c r="N63" s="332"/>
      <c r="O63" s="332"/>
      <c r="P63" s="332"/>
      <c r="Q63" s="332"/>
      <c r="R63" s="332"/>
      <c r="S63" s="332"/>
      <c r="T63" s="332"/>
      <c r="U63" s="332"/>
      <c r="V63" s="332"/>
      <c r="W63" s="332"/>
      <c r="X63" s="332"/>
      <c r="Y63" s="332"/>
      <c r="Z63" s="332"/>
      <c r="AA63" s="332"/>
    </row>
    <row r="64" spans="2:27" s="312" customFormat="1">
      <c r="B64" s="317"/>
      <c r="C64" s="317"/>
      <c r="D64" s="317"/>
      <c r="E64" s="317"/>
      <c r="K64" s="332"/>
      <c r="L64" s="332"/>
      <c r="M64" s="332"/>
      <c r="N64" s="332"/>
      <c r="O64" s="332"/>
      <c r="P64" s="332"/>
      <c r="Q64" s="332"/>
      <c r="R64" s="332"/>
      <c r="S64" s="332"/>
      <c r="T64" s="332"/>
      <c r="U64" s="332"/>
      <c r="V64" s="332"/>
      <c r="W64" s="332"/>
      <c r="X64" s="332"/>
      <c r="Y64" s="332"/>
      <c r="Z64" s="332"/>
      <c r="AA64" s="332"/>
    </row>
    <row r="65" spans="2:27" s="312" customFormat="1">
      <c r="B65" s="317"/>
      <c r="C65" s="317"/>
      <c r="D65" s="317"/>
      <c r="E65" s="317"/>
      <c r="K65" s="332"/>
      <c r="L65" s="332"/>
      <c r="M65" s="332"/>
      <c r="N65" s="332"/>
      <c r="O65" s="332"/>
      <c r="P65" s="332"/>
      <c r="Q65" s="332"/>
      <c r="R65" s="332"/>
      <c r="S65" s="332"/>
      <c r="T65" s="332"/>
      <c r="U65" s="332"/>
      <c r="V65" s="332"/>
      <c r="W65" s="332"/>
      <c r="X65" s="332"/>
      <c r="Y65" s="332"/>
      <c r="Z65" s="332"/>
      <c r="AA65" s="332"/>
    </row>
    <row r="66" spans="2:27" s="312" customFormat="1">
      <c r="B66" s="317"/>
      <c r="C66" s="317"/>
      <c r="D66" s="317"/>
      <c r="E66" s="317"/>
      <c r="K66" s="332"/>
      <c r="L66" s="332"/>
      <c r="M66" s="332"/>
      <c r="N66" s="332"/>
      <c r="O66" s="332"/>
      <c r="P66" s="332"/>
      <c r="Q66" s="332"/>
      <c r="R66" s="332"/>
      <c r="S66" s="332"/>
      <c r="T66" s="332"/>
      <c r="U66" s="332"/>
      <c r="V66" s="332"/>
      <c r="W66" s="332"/>
      <c r="X66" s="332"/>
      <c r="Y66" s="332"/>
      <c r="Z66" s="332"/>
      <c r="AA66" s="332"/>
    </row>
    <row r="67" spans="2:27" s="312" customFormat="1">
      <c r="B67" s="317"/>
      <c r="C67" s="317"/>
      <c r="D67" s="317"/>
      <c r="E67" s="317"/>
      <c r="K67" s="332"/>
      <c r="L67" s="332"/>
      <c r="M67" s="332"/>
      <c r="N67" s="332"/>
      <c r="O67" s="332"/>
      <c r="P67" s="332"/>
      <c r="Q67" s="332"/>
      <c r="R67" s="332"/>
      <c r="S67" s="332"/>
      <c r="T67" s="332"/>
      <c r="U67" s="332"/>
      <c r="V67" s="332"/>
      <c r="W67" s="332"/>
      <c r="X67" s="332"/>
      <c r="Y67" s="332"/>
      <c r="Z67" s="332"/>
      <c r="AA67" s="332"/>
    </row>
    <row r="68" spans="2:27" s="312" customFormat="1">
      <c r="B68" s="317"/>
      <c r="C68" s="317"/>
      <c r="D68" s="317"/>
      <c r="E68" s="317"/>
      <c r="K68" s="332"/>
      <c r="L68" s="332"/>
      <c r="M68" s="332"/>
      <c r="N68" s="332"/>
      <c r="O68" s="332"/>
      <c r="P68" s="332"/>
      <c r="Q68" s="332"/>
      <c r="R68" s="332"/>
      <c r="S68" s="332"/>
      <c r="T68" s="332"/>
      <c r="U68" s="332"/>
      <c r="V68" s="332"/>
      <c r="W68" s="332"/>
      <c r="X68" s="332"/>
      <c r="Y68" s="332"/>
      <c r="Z68" s="332"/>
      <c r="AA68" s="332"/>
    </row>
    <row r="69" spans="2:27" s="312" customFormat="1">
      <c r="B69" s="317"/>
      <c r="C69" s="317"/>
      <c r="D69" s="317"/>
      <c r="E69" s="317"/>
      <c r="K69" s="332"/>
      <c r="L69" s="332"/>
      <c r="M69" s="332"/>
      <c r="N69" s="332"/>
      <c r="O69" s="332"/>
      <c r="P69" s="332"/>
      <c r="Q69" s="332"/>
      <c r="R69" s="332"/>
      <c r="S69" s="332"/>
      <c r="T69" s="332"/>
      <c r="U69" s="332"/>
      <c r="V69" s="332"/>
      <c r="W69" s="332"/>
      <c r="X69" s="332"/>
      <c r="Y69" s="332"/>
      <c r="Z69" s="332"/>
      <c r="AA69" s="332"/>
    </row>
    <row r="70" spans="2:27" s="312" customFormat="1">
      <c r="K70" s="332"/>
      <c r="L70" s="332"/>
      <c r="M70" s="332"/>
      <c r="N70" s="332"/>
      <c r="O70" s="332"/>
      <c r="P70" s="332"/>
      <c r="Q70" s="332"/>
      <c r="R70" s="332"/>
      <c r="S70" s="332"/>
      <c r="T70" s="332"/>
      <c r="U70" s="332"/>
      <c r="V70" s="332"/>
      <c r="W70" s="332"/>
      <c r="X70" s="332"/>
      <c r="Y70" s="332"/>
      <c r="Z70" s="332"/>
      <c r="AA70" s="332"/>
    </row>
    <row r="71" spans="2:27" s="312" customFormat="1">
      <c r="K71" s="332"/>
      <c r="L71" s="332"/>
      <c r="M71" s="332"/>
      <c r="N71" s="332"/>
      <c r="O71" s="332"/>
      <c r="P71" s="332"/>
      <c r="Q71" s="332"/>
      <c r="R71" s="332"/>
      <c r="S71" s="332"/>
      <c r="T71" s="332"/>
      <c r="U71" s="332"/>
      <c r="V71" s="332"/>
      <c r="W71" s="332"/>
      <c r="X71" s="332"/>
      <c r="Y71" s="332"/>
      <c r="Z71" s="332"/>
      <c r="AA71" s="332"/>
    </row>
    <row r="72" spans="2:27" s="312" customFormat="1">
      <c r="K72" s="332"/>
      <c r="L72" s="332"/>
      <c r="M72" s="332"/>
      <c r="N72" s="332"/>
      <c r="O72" s="332"/>
      <c r="P72" s="332"/>
      <c r="Q72" s="332"/>
      <c r="R72" s="332"/>
      <c r="S72" s="332"/>
      <c r="T72" s="332"/>
      <c r="U72" s="332"/>
      <c r="V72" s="332"/>
      <c r="W72" s="332"/>
      <c r="X72" s="332"/>
      <c r="Y72" s="332"/>
      <c r="Z72" s="332"/>
      <c r="AA72" s="332"/>
    </row>
    <row r="73" spans="2:27" s="312" customFormat="1">
      <c r="K73" s="332"/>
      <c r="L73" s="332"/>
      <c r="M73" s="332"/>
      <c r="N73" s="332"/>
      <c r="O73" s="332"/>
      <c r="P73" s="332"/>
      <c r="Q73" s="332"/>
      <c r="R73" s="332"/>
      <c r="S73" s="332"/>
      <c r="T73" s="332"/>
      <c r="U73" s="332"/>
      <c r="V73" s="332"/>
      <c r="W73" s="332"/>
      <c r="X73" s="332"/>
      <c r="Y73" s="332"/>
      <c r="Z73" s="332"/>
      <c r="AA73" s="332"/>
    </row>
    <row r="74" spans="2:27" s="312" customFormat="1">
      <c r="K74" s="332"/>
      <c r="L74" s="332"/>
      <c r="M74" s="332"/>
      <c r="N74" s="332"/>
      <c r="O74" s="332"/>
      <c r="P74" s="332"/>
      <c r="Q74" s="332"/>
      <c r="R74" s="332"/>
      <c r="S74" s="332"/>
      <c r="T74" s="332"/>
      <c r="U74" s="332"/>
      <c r="V74" s="332"/>
      <c r="W74" s="332"/>
      <c r="X74" s="332"/>
      <c r="Y74" s="332"/>
      <c r="Z74" s="332"/>
      <c r="AA74" s="332"/>
    </row>
    <row r="75" spans="2:27" s="312" customFormat="1">
      <c r="K75" s="332"/>
      <c r="L75" s="332"/>
      <c r="M75" s="332"/>
      <c r="N75" s="332"/>
      <c r="O75" s="332"/>
      <c r="P75" s="332"/>
      <c r="Q75" s="332"/>
      <c r="R75" s="332"/>
      <c r="S75" s="332"/>
      <c r="T75" s="332"/>
      <c r="U75" s="332"/>
      <c r="V75" s="332"/>
      <c r="W75" s="332"/>
      <c r="X75" s="332"/>
      <c r="Y75" s="332"/>
      <c r="Z75" s="332"/>
      <c r="AA75" s="332"/>
    </row>
    <row r="76" spans="2:27" s="312" customFormat="1">
      <c r="K76" s="332"/>
      <c r="L76" s="332"/>
      <c r="M76" s="332"/>
      <c r="N76" s="332"/>
      <c r="O76" s="332"/>
      <c r="P76" s="332"/>
      <c r="Q76" s="332"/>
      <c r="R76" s="332"/>
      <c r="S76" s="332"/>
      <c r="T76" s="332"/>
      <c r="U76" s="332"/>
      <c r="V76" s="332"/>
      <c r="W76" s="332"/>
      <c r="X76" s="332"/>
      <c r="Y76" s="332"/>
      <c r="Z76" s="332"/>
      <c r="AA76" s="332"/>
    </row>
    <row r="77" spans="2:27" s="312" customFormat="1">
      <c r="K77" s="332"/>
      <c r="L77" s="332"/>
      <c r="M77" s="332"/>
      <c r="N77" s="332"/>
      <c r="O77" s="332"/>
      <c r="P77" s="332"/>
      <c r="Q77" s="332"/>
      <c r="R77" s="332"/>
      <c r="S77" s="332"/>
      <c r="T77" s="332"/>
      <c r="U77" s="332"/>
      <c r="V77" s="332"/>
      <c r="W77" s="332"/>
      <c r="X77" s="332"/>
      <c r="Y77" s="332"/>
      <c r="Z77" s="332"/>
      <c r="AA77" s="332"/>
    </row>
    <row r="78" spans="2:27" s="312" customFormat="1">
      <c r="K78" s="332"/>
      <c r="L78" s="332"/>
      <c r="M78" s="332"/>
      <c r="N78" s="332"/>
      <c r="O78" s="332"/>
      <c r="P78" s="332"/>
      <c r="Q78" s="332"/>
      <c r="R78" s="332"/>
      <c r="S78" s="332"/>
      <c r="T78" s="332"/>
      <c r="U78" s="332"/>
      <c r="V78" s="332"/>
      <c r="W78" s="332"/>
      <c r="X78" s="332"/>
      <c r="Y78" s="332"/>
      <c r="Z78" s="332"/>
      <c r="AA78" s="332"/>
    </row>
    <row r="79" spans="2:27" s="312" customFormat="1">
      <c r="K79" s="332"/>
      <c r="L79" s="332"/>
      <c r="M79" s="332"/>
      <c r="N79" s="332"/>
      <c r="O79" s="332"/>
      <c r="P79" s="332"/>
      <c r="Q79" s="332"/>
      <c r="R79" s="332"/>
      <c r="S79" s="332"/>
      <c r="T79" s="332"/>
      <c r="U79" s="332"/>
      <c r="V79" s="332"/>
      <c r="W79" s="332"/>
      <c r="X79" s="332"/>
      <c r="Y79" s="332"/>
      <c r="Z79" s="332"/>
      <c r="AA79" s="332"/>
    </row>
    <row r="80" spans="2:27" s="312" customFormat="1">
      <c r="K80" s="332"/>
      <c r="L80" s="332"/>
      <c r="M80" s="332"/>
      <c r="N80" s="332"/>
      <c r="O80" s="332"/>
      <c r="P80" s="332"/>
      <c r="Q80" s="332"/>
      <c r="R80" s="332"/>
      <c r="S80" s="332"/>
      <c r="T80" s="332"/>
      <c r="U80" s="332"/>
      <c r="V80" s="332"/>
      <c r="W80" s="332"/>
      <c r="X80" s="332"/>
      <c r="Y80" s="332"/>
      <c r="Z80" s="332"/>
      <c r="AA80" s="332"/>
    </row>
    <row r="81" spans="11:27" s="312" customFormat="1">
      <c r="K81" s="332"/>
      <c r="L81" s="332"/>
      <c r="M81" s="332"/>
      <c r="N81" s="332"/>
      <c r="O81" s="332"/>
      <c r="P81" s="332"/>
      <c r="Q81" s="332"/>
      <c r="R81" s="332"/>
      <c r="S81" s="332"/>
      <c r="T81" s="332"/>
      <c r="U81" s="332"/>
      <c r="V81" s="332"/>
      <c r="W81" s="332"/>
      <c r="X81" s="332"/>
      <c r="Y81" s="332"/>
      <c r="Z81" s="332"/>
      <c r="AA81" s="332"/>
    </row>
    <row r="82" spans="11:27" s="312" customFormat="1">
      <c r="K82" s="332"/>
      <c r="L82" s="332"/>
      <c r="M82" s="332"/>
      <c r="N82" s="332"/>
      <c r="O82" s="332"/>
      <c r="P82" s="332"/>
      <c r="Q82" s="332"/>
      <c r="R82" s="332"/>
      <c r="S82" s="332"/>
      <c r="T82" s="332"/>
      <c r="U82" s="332"/>
      <c r="V82" s="332"/>
      <c r="W82" s="332"/>
      <c r="X82" s="332"/>
      <c r="Y82" s="332"/>
      <c r="Z82" s="332"/>
      <c r="AA82" s="332"/>
    </row>
    <row r="83" spans="11:27" s="312" customFormat="1">
      <c r="K83" s="332"/>
      <c r="L83" s="332"/>
      <c r="M83" s="332"/>
      <c r="N83" s="332"/>
      <c r="O83" s="332"/>
      <c r="P83" s="332"/>
      <c r="Q83" s="332"/>
      <c r="R83" s="332"/>
      <c r="S83" s="332"/>
      <c r="T83" s="332"/>
      <c r="U83" s="332"/>
      <c r="V83" s="332"/>
      <c r="W83" s="332"/>
      <c r="X83" s="332"/>
      <c r="Y83" s="332"/>
      <c r="Z83" s="332"/>
      <c r="AA83" s="332"/>
    </row>
    <row r="84" spans="11:27" s="312" customFormat="1">
      <c r="K84" s="332"/>
      <c r="L84" s="332"/>
      <c r="M84" s="332"/>
      <c r="N84" s="332"/>
      <c r="O84" s="332"/>
      <c r="P84" s="332"/>
      <c r="Q84" s="332"/>
      <c r="R84" s="332"/>
      <c r="S84" s="332"/>
      <c r="T84" s="332"/>
      <c r="U84" s="332"/>
      <c r="V84" s="332"/>
      <c r="W84" s="332"/>
      <c r="X84" s="332"/>
      <c r="Y84" s="332"/>
      <c r="Z84" s="332"/>
      <c r="AA84" s="332"/>
    </row>
    <row r="85" spans="11:27" s="312" customFormat="1">
      <c r="K85" s="332"/>
      <c r="L85" s="332"/>
      <c r="M85" s="332"/>
      <c r="N85" s="332"/>
      <c r="O85" s="332"/>
      <c r="P85" s="332"/>
      <c r="Q85" s="332"/>
      <c r="R85" s="332"/>
      <c r="S85" s="332"/>
      <c r="T85" s="332"/>
      <c r="U85" s="332"/>
      <c r="V85" s="332"/>
      <c r="W85" s="332"/>
      <c r="X85" s="332"/>
      <c r="Y85" s="332"/>
      <c r="Z85" s="332"/>
      <c r="AA85" s="332"/>
    </row>
    <row r="86" spans="11:27" s="312" customFormat="1">
      <c r="K86" s="332"/>
      <c r="L86" s="332"/>
      <c r="M86" s="332"/>
      <c r="N86" s="332"/>
      <c r="O86" s="332"/>
      <c r="P86" s="332"/>
      <c r="Q86" s="332"/>
      <c r="R86" s="332"/>
      <c r="S86" s="332"/>
      <c r="T86" s="332"/>
      <c r="U86" s="332"/>
      <c r="V86" s="332"/>
      <c r="W86" s="332"/>
      <c r="X86" s="332"/>
      <c r="Y86" s="332"/>
      <c r="Z86" s="332"/>
      <c r="AA86" s="332"/>
    </row>
    <row r="87" spans="11:27" s="312" customFormat="1">
      <c r="K87" s="332"/>
      <c r="L87" s="332"/>
      <c r="M87" s="332"/>
      <c r="N87" s="332"/>
      <c r="O87" s="332"/>
      <c r="P87" s="332"/>
      <c r="Q87" s="332"/>
      <c r="R87" s="332"/>
      <c r="S87" s="332"/>
      <c r="T87" s="332"/>
      <c r="U87" s="332"/>
      <c r="V87" s="332"/>
      <c r="W87" s="332"/>
      <c r="X87" s="332"/>
      <c r="Y87" s="332"/>
      <c r="Z87" s="332"/>
      <c r="AA87" s="332"/>
    </row>
    <row r="88" spans="11:27" s="312" customFormat="1">
      <c r="K88" s="332"/>
      <c r="L88" s="332"/>
      <c r="M88" s="332"/>
      <c r="N88" s="332"/>
      <c r="O88" s="332"/>
      <c r="P88" s="332"/>
      <c r="Q88" s="332"/>
      <c r="R88" s="332"/>
      <c r="S88" s="332"/>
      <c r="T88" s="332"/>
      <c r="U88" s="332"/>
      <c r="V88" s="332"/>
      <c r="W88" s="332"/>
      <c r="X88" s="332"/>
      <c r="Y88" s="332"/>
      <c r="Z88" s="332"/>
      <c r="AA88" s="332"/>
    </row>
    <row r="89" spans="11:27" s="312" customFormat="1">
      <c r="K89" s="332"/>
      <c r="L89" s="332"/>
      <c r="M89" s="332"/>
      <c r="N89" s="332"/>
      <c r="O89" s="332"/>
      <c r="P89" s="332"/>
      <c r="Q89" s="332"/>
      <c r="R89" s="332"/>
      <c r="S89" s="332"/>
      <c r="T89" s="332"/>
      <c r="U89" s="332"/>
      <c r="V89" s="332"/>
      <c r="W89" s="332"/>
      <c r="X89" s="332"/>
      <c r="Y89" s="332"/>
      <c r="Z89" s="332"/>
      <c r="AA89" s="332"/>
    </row>
    <row r="90" spans="11:27" s="312" customFormat="1">
      <c r="K90" s="332"/>
      <c r="L90" s="332"/>
      <c r="M90" s="332"/>
      <c r="N90" s="332"/>
      <c r="O90" s="332"/>
      <c r="P90" s="332"/>
      <c r="Q90" s="332"/>
      <c r="R90" s="332"/>
      <c r="S90" s="332"/>
      <c r="T90" s="332"/>
      <c r="U90" s="332"/>
      <c r="V90" s="332"/>
      <c r="W90" s="332"/>
      <c r="X90" s="332"/>
      <c r="Y90" s="332"/>
      <c r="Z90" s="332"/>
      <c r="AA90" s="332"/>
    </row>
    <row r="91" spans="11:27" s="312" customFormat="1">
      <c r="K91" s="332"/>
      <c r="L91" s="332"/>
      <c r="M91" s="332"/>
      <c r="N91" s="332"/>
      <c r="O91" s="332"/>
      <c r="P91" s="332"/>
      <c r="Q91" s="332"/>
      <c r="R91" s="332"/>
      <c r="S91" s="332"/>
      <c r="T91" s="332"/>
      <c r="U91" s="332"/>
      <c r="V91" s="332"/>
      <c r="W91" s="332"/>
      <c r="X91" s="332"/>
      <c r="Y91" s="332"/>
      <c r="Z91" s="332"/>
      <c r="AA91" s="332"/>
    </row>
    <row r="92" spans="11:27" s="312" customFormat="1">
      <c r="K92" s="332"/>
      <c r="L92" s="332"/>
      <c r="M92" s="332"/>
      <c r="N92" s="332"/>
      <c r="O92" s="332"/>
      <c r="P92" s="332"/>
      <c r="Q92" s="332"/>
      <c r="R92" s="332"/>
      <c r="S92" s="332"/>
      <c r="T92" s="332"/>
      <c r="U92" s="332"/>
      <c r="V92" s="332"/>
      <c r="W92" s="332"/>
      <c r="X92" s="332"/>
      <c r="Y92" s="332"/>
      <c r="Z92" s="332"/>
      <c r="AA92" s="332"/>
    </row>
    <row r="93" spans="11:27" s="312" customFormat="1">
      <c r="K93" s="332"/>
      <c r="L93" s="332"/>
      <c r="M93" s="332"/>
      <c r="N93" s="332"/>
      <c r="O93" s="332"/>
      <c r="P93" s="332"/>
      <c r="Q93" s="332"/>
      <c r="R93" s="332"/>
      <c r="S93" s="332"/>
      <c r="T93" s="332"/>
      <c r="U93" s="332"/>
      <c r="V93" s="332"/>
      <c r="W93" s="332"/>
      <c r="X93" s="332"/>
      <c r="Y93" s="332"/>
      <c r="Z93" s="332"/>
      <c r="AA93" s="332"/>
    </row>
    <row r="94" spans="11:27" s="312" customFormat="1">
      <c r="K94" s="332"/>
      <c r="L94" s="332"/>
      <c r="M94" s="332"/>
      <c r="N94" s="332"/>
      <c r="O94" s="332"/>
      <c r="P94" s="332"/>
      <c r="Q94" s="332"/>
      <c r="R94" s="332"/>
      <c r="S94" s="332"/>
      <c r="T94" s="332"/>
      <c r="U94" s="332"/>
      <c r="V94" s="332"/>
      <c r="W94" s="332"/>
      <c r="X94" s="332"/>
      <c r="Y94" s="332"/>
      <c r="Z94" s="332"/>
      <c r="AA94" s="332"/>
    </row>
    <row r="95" spans="11:27" s="312" customFormat="1">
      <c r="K95" s="332"/>
      <c r="L95" s="332"/>
      <c r="M95" s="332"/>
      <c r="N95" s="332"/>
      <c r="O95" s="332"/>
      <c r="P95" s="332"/>
      <c r="Q95" s="332"/>
      <c r="R95" s="332"/>
      <c r="S95" s="332"/>
      <c r="T95" s="332"/>
      <c r="U95" s="332"/>
      <c r="V95" s="332"/>
      <c r="W95" s="332"/>
      <c r="X95" s="332"/>
      <c r="Y95" s="332"/>
      <c r="Z95" s="332"/>
      <c r="AA95" s="332"/>
    </row>
    <row r="96" spans="11:27" s="312" customFormat="1">
      <c r="K96" s="332"/>
      <c r="L96" s="332"/>
      <c r="M96" s="332"/>
      <c r="N96" s="332"/>
      <c r="O96" s="332"/>
      <c r="P96" s="332"/>
      <c r="Q96" s="332"/>
      <c r="R96" s="332"/>
      <c r="S96" s="332"/>
      <c r="T96" s="332"/>
      <c r="U96" s="332"/>
      <c r="V96" s="332"/>
      <c r="W96" s="332"/>
      <c r="X96" s="332"/>
      <c r="Y96" s="332"/>
      <c r="Z96" s="332"/>
      <c r="AA96" s="332"/>
    </row>
    <row r="97" spans="11:27" s="312" customFormat="1">
      <c r="K97" s="332"/>
      <c r="L97" s="332"/>
      <c r="M97" s="332"/>
      <c r="N97" s="332"/>
      <c r="O97" s="332"/>
      <c r="P97" s="332"/>
      <c r="Q97" s="332"/>
      <c r="R97" s="332"/>
      <c r="S97" s="332"/>
      <c r="T97" s="332"/>
      <c r="U97" s="332"/>
      <c r="V97" s="332"/>
      <c r="W97" s="332"/>
      <c r="X97" s="332"/>
      <c r="Y97" s="332"/>
      <c r="Z97" s="332"/>
      <c r="AA97" s="332"/>
    </row>
    <row r="98" spans="11:27" s="312" customFormat="1">
      <c r="K98" s="332"/>
      <c r="L98" s="332"/>
      <c r="M98" s="332"/>
      <c r="N98" s="332"/>
      <c r="O98" s="332"/>
      <c r="P98" s="332"/>
      <c r="Q98" s="332"/>
      <c r="R98" s="332"/>
      <c r="S98" s="332"/>
      <c r="T98" s="332"/>
      <c r="U98" s="332"/>
      <c r="V98" s="332"/>
      <c r="W98" s="332"/>
      <c r="X98" s="332"/>
      <c r="Y98" s="332"/>
      <c r="Z98" s="332"/>
      <c r="AA98" s="332"/>
    </row>
    <row r="99" spans="11:27" s="312" customFormat="1">
      <c r="K99" s="332"/>
      <c r="L99" s="332"/>
      <c r="M99" s="332"/>
      <c r="N99" s="332"/>
      <c r="O99" s="332"/>
      <c r="P99" s="332"/>
      <c r="Q99" s="332"/>
      <c r="R99" s="332"/>
      <c r="S99" s="332"/>
      <c r="T99" s="332"/>
      <c r="U99" s="332"/>
      <c r="V99" s="332"/>
      <c r="W99" s="332"/>
      <c r="X99" s="332"/>
      <c r="Y99" s="332"/>
      <c r="Z99" s="332"/>
      <c r="AA99" s="332"/>
    </row>
    <row r="100" spans="11:27" s="312" customFormat="1">
      <c r="K100" s="332"/>
      <c r="L100" s="332"/>
      <c r="M100" s="332"/>
      <c r="N100" s="332"/>
      <c r="O100" s="332"/>
      <c r="P100" s="332"/>
      <c r="Q100" s="332"/>
      <c r="R100" s="332"/>
      <c r="S100" s="332"/>
      <c r="T100" s="332"/>
      <c r="U100" s="332"/>
      <c r="V100" s="332"/>
      <c r="W100" s="332"/>
      <c r="X100" s="332"/>
      <c r="Y100" s="332"/>
      <c r="Z100" s="332"/>
      <c r="AA100" s="332"/>
    </row>
    <row r="101" spans="11:27" s="312" customFormat="1">
      <c r="K101" s="332"/>
      <c r="L101" s="332"/>
      <c r="M101" s="332"/>
      <c r="N101" s="332"/>
      <c r="O101" s="332"/>
      <c r="P101" s="332"/>
      <c r="Q101" s="332"/>
      <c r="R101" s="332"/>
      <c r="S101" s="332"/>
      <c r="T101" s="332"/>
      <c r="U101" s="332"/>
      <c r="V101" s="332"/>
      <c r="W101" s="332"/>
      <c r="X101" s="332"/>
      <c r="Y101" s="332"/>
      <c r="Z101" s="332"/>
      <c r="AA101" s="332"/>
    </row>
    <row r="102" spans="11:27" s="312" customFormat="1">
      <c r="K102" s="332"/>
      <c r="L102" s="332"/>
      <c r="M102" s="332"/>
      <c r="N102" s="332"/>
      <c r="O102" s="332"/>
      <c r="P102" s="332"/>
      <c r="Q102" s="332"/>
      <c r="R102" s="332"/>
      <c r="S102" s="332"/>
      <c r="T102" s="332"/>
      <c r="V102" s="332"/>
      <c r="W102" s="332"/>
      <c r="X102" s="332"/>
      <c r="Y102" s="332"/>
      <c r="Z102" s="332"/>
      <c r="AA102" s="332"/>
    </row>
    <row r="103" spans="11:27" s="312" customFormat="1"/>
  </sheetData>
  <sheetProtection sheet="1"/>
  <mergeCells count="4">
    <mergeCell ref="L14:L16"/>
    <mergeCell ref="C15:C16"/>
    <mergeCell ref="E15:E16"/>
    <mergeCell ref="C1:H1"/>
  </mergeCells>
  <dataValidations count="4">
    <dataValidation type="list" allowBlank="1" showInputMessage="1" showErrorMessage="1" sqref="E17:E22">
      <formula1>$K$17:$K$19</formula1>
    </dataValidation>
    <dataValidation type="list" allowBlank="1" showInputMessage="1" showErrorMessage="1" sqref="B17:B22">
      <formula1>$U$14:$U$25</formula1>
    </dataValidation>
    <dataValidation type="list" allowBlank="1" showInputMessage="1" showErrorMessage="1" sqref="B42:B45">
      <formula1>$U$41:$U$45</formula1>
    </dataValidation>
    <dataValidation type="list" allowBlank="1" showInputMessage="1" showErrorMessage="1" sqref="B30:B33">
      <formula1>$U$29:$U$35</formula1>
    </dataValidation>
  </dataValidations>
  <printOptions horizontalCentered="1"/>
  <pageMargins left="0.25" right="0.25" top="0.75" bottom="0.75" header="0.3" footer="0.3"/>
  <pageSetup scale="82" orientation="portrait" r:id="rId1"/>
  <drawing r:id="rId2"/>
</worksheet>
</file>

<file path=xl/worksheets/sheet7.xml><?xml version="1.0" encoding="utf-8"?>
<worksheet xmlns="http://schemas.openxmlformats.org/spreadsheetml/2006/main" xmlns:r="http://schemas.openxmlformats.org/officeDocument/2006/relationships">
  <sheetPr codeName="Sheet4">
    <pageSetUpPr fitToPage="1"/>
  </sheetPr>
  <dimension ref="A1:AA170"/>
  <sheetViews>
    <sheetView workbookViewId="0"/>
  </sheetViews>
  <sheetFormatPr defaultRowHeight="12.75"/>
  <cols>
    <col min="1" max="1" width="5" style="312" customWidth="1"/>
    <col min="2" max="2" width="26.7109375" style="116" customWidth="1"/>
    <col min="3" max="4" width="10.5703125" style="84" customWidth="1"/>
    <col min="5" max="6" width="9.140625" style="84"/>
    <col min="7" max="7" width="11.42578125" style="84" customWidth="1"/>
    <col min="8" max="8" width="11.5703125" style="84" customWidth="1"/>
    <col min="9" max="9" width="4.42578125" style="332" customWidth="1"/>
    <col min="10" max="26" width="9.140625" style="332"/>
    <col min="27" max="27" width="9.140625" style="312"/>
    <col min="28" max="16384" width="9.140625" style="84"/>
  </cols>
  <sheetData>
    <row r="1" spans="2:11" ht="18.75" thickBot="1">
      <c r="B1" s="118" t="s">
        <v>115</v>
      </c>
      <c r="C1" s="196"/>
      <c r="D1" s="196"/>
      <c r="E1" s="196"/>
      <c r="F1" s="196"/>
      <c r="G1" s="196"/>
      <c r="H1" s="159"/>
    </row>
    <row r="2" spans="2:11" ht="26.25" thickBot="1">
      <c r="B2" s="121" t="s">
        <v>39</v>
      </c>
      <c r="C2" s="221"/>
      <c r="D2" s="222"/>
      <c r="E2" s="222"/>
      <c r="F2" s="222"/>
      <c r="G2" s="274" t="s">
        <v>137</v>
      </c>
      <c r="H2" s="287" t="s">
        <v>126</v>
      </c>
    </row>
    <row r="3" spans="2:11">
      <c r="B3" s="126"/>
      <c r="C3" s="79" t="s">
        <v>59</v>
      </c>
      <c r="D3" s="124" t="s">
        <v>40</v>
      </c>
      <c r="E3" s="124" t="s">
        <v>6</v>
      </c>
      <c r="F3" s="124"/>
      <c r="G3" s="127" t="s">
        <v>41</v>
      </c>
      <c r="H3" s="168" t="s">
        <v>41</v>
      </c>
      <c r="K3" s="333"/>
    </row>
    <row r="4" spans="2:11">
      <c r="B4" s="70" t="s">
        <v>116</v>
      </c>
      <c r="C4" s="132">
        <f>'Finish Lambs'!C4</f>
        <v>225</v>
      </c>
      <c r="D4" s="95">
        <f>'Finish Lambs'!D4</f>
        <v>60</v>
      </c>
      <c r="E4" s="93">
        <f>'Finish Lambs'!E4</f>
        <v>140</v>
      </c>
      <c r="F4" s="93" t="str">
        <f>'Finish Lambs'!F4</f>
        <v>$ / cwt</v>
      </c>
      <c r="G4" s="223">
        <f>C4*D4*E4/100</f>
        <v>18900</v>
      </c>
      <c r="H4" s="104">
        <f>IF(Inputs!$F$26=0,0,IF(G4="","",G4/Inputs!$F$26))</f>
        <v>84</v>
      </c>
    </row>
    <row r="5" spans="2:11">
      <c r="B5" s="70"/>
      <c r="C5" s="74"/>
      <c r="D5" s="93"/>
      <c r="E5" s="93"/>
      <c r="F5" s="93"/>
      <c r="G5" s="223"/>
      <c r="H5" s="104"/>
    </row>
    <row r="6" spans="2:11">
      <c r="B6" s="70" t="s">
        <v>109</v>
      </c>
      <c r="C6" s="132">
        <f>Inputs!F4</f>
        <v>20</v>
      </c>
      <c r="D6" s="95">
        <f>Inputs!F8</f>
        <v>150</v>
      </c>
      <c r="E6" s="93">
        <f>Inputs!F9</f>
        <v>30</v>
      </c>
      <c r="F6" s="93" t="str">
        <f>Inputs!G9</f>
        <v>$ / cwt</v>
      </c>
      <c r="G6" s="223">
        <f>C6*D6*E6/100</f>
        <v>900</v>
      </c>
      <c r="H6" s="104">
        <f>IF(Inputs!$F$26=0,0,IF(G6="","",G6/Inputs!$F$26))</f>
        <v>4</v>
      </c>
    </row>
    <row r="7" spans="2:11">
      <c r="B7" s="70"/>
      <c r="C7" s="74"/>
      <c r="D7" s="93"/>
      <c r="E7" s="93"/>
      <c r="F7" s="93"/>
      <c r="G7" s="223"/>
      <c r="H7" s="104"/>
    </row>
    <row r="8" spans="2:11">
      <c r="B8" s="70" t="s">
        <v>110</v>
      </c>
      <c r="C8" s="281">
        <f>Rams!C5</f>
        <v>0.4</v>
      </c>
      <c r="D8" s="93"/>
      <c r="E8" s="95">
        <f>Rams!E5</f>
        <v>60</v>
      </c>
      <c r="F8" s="93" t="str">
        <f>Inputs!G14</f>
        <v>per head</v>
      </c>
      <c r="G8" s="223">
        <f>C8*E8</f>
        <v>24</v>
      </c>
      <c r="H8" s="104">
        <f>IF(Inputs!$F$26=0,0,IF(G8="","",G8/Inputs!$F$26))</f>
        <v>0.10666666666666667</v>
      </c>
    </row>
    <row r="9" spans="2:11">
      <c r="B9" s="70"/>
      <c r="C9" s="74"/>
      <c r="D9" s="93"/>
      <c r="E9" s="93"/>
      <c r="F9" s="93"/>
      <c r="G9" s="223"/>
      <c r="H9" s="104"/>
    </row>
    <row r="10" spans="2:11">
      <c r="B10" s="70" t="s">
        <v>124</v>
      </c>
      <c r="C10" s="74"/>
      <c r="D10" s="93">
        <f>Flock!C8+'Finish Lambs'!D6</f>
        <v>150</v>
      </c>
      <c r="E10" s="95">
        <f>Inputs!F19</f>
        <v>0.1</v>
      </c>
      <c r="F10" s="93" t="str">
        <f>Inputs!G19</f>
        <v>$ / lb</v>
      </c>
      <c r="G10" s="223">
        <f>D10*E10</f>
        <v>15</v>
      </c>
      <c r="H10" s="104">
        <f>IF(Inputs!$F$26=0,0,IF(G10="","",G10/Inputs!$F$26))</f>
        <v>6.6666666666666666E-2</v>
      </c>
    </row>
    <row r="11" spans="2:11" ht="13.5" thickBot="1">
      <c r="B11" s="92"/>
      <c r="C11" s="74"/>
      <c r="D11" s="93"/>
      <c r="E11" s="93"/>
      <c r="F11" s="93"/>
      <c r="G11" s="280"/>
      <c r="H11" s="104"/>
    </row>
    <row r="12" spans="2:11" ht="16.5" thickBot="1">
      <c r="B12" s="121"/>
      <c r="C12" s="86"/>
      <c r="D12" s="81"/>
      <c r="E12" s="81"/>
      <c r="F12" s="62" t="s">
        <v>43</v>
      </c>
      <c r="G12" s="306">
        <f>SUM(G4:G11)</f>
        <v>19839</v>
      </c>
      <c r="H12" s="307">
        <f>SUM(H4:H11)</f>
        <v>88.173333333333332</v>
      </c>
    </row>
    <row r="13" spans="2:11" ht="13.5" thickBot="1">
      <c r="B13" s="119"/>
      <c r="C13" s="87"/>
      <c r="D13" s="87"/>
      <c r="E13" s="87"/>
      <c r="F13" s="87"/>
      <c r="G13" s="87"/>
      <c r="H13" s="192"/>
    </row>
    <row r="14" spans="2:11" ht="26.25" thickBot="1">
      <c r="B14" s="121" t="s">
        <v>44</v>
      </c>
      <c r="C14" s="221"/>
      <c r="D14" s="222"/>
      <c r="E14" s="222"/>
      <c r="F14" s="222"/>
      <c r="G14" s="274" t="s">
        <v>137</v>
      </c>
      <c r="H14" s="287" t="s">
        <v>126</v>
      </c>
    </row>
    <row r="15" spans="2:11">
      <c r="B15" s="133" t="s">
        <v>152</v>
      </c>
      <c r="C15" s="79" t="s">
        <v>59</v>
      </c>
      <c r="D15" s="124" t="s">
        <v>6</v>
      </c>
      <c r="E15" s="89"/>
      <c r="F15" s="89"/>
      <c r="G15" s="127" t="s">
        <v>41</v>
      </c>
      <c r="H15" s="168" t="s">
        <v>41</v>
      </c>
    </row>
    <row r="16" spans="2:11">
      <c r="B16" s="92" t="s">
        <v>112</v>
      </c>
      <c r="C16" s="128">
        <f>Flock!C15</f>
        <v>25</v>
      </c>
      <c r="D16" s="93">
        <f>Inputs!F7</f>
        <v>50</v>
      </c>
      <c r="E16" s="93" t="s">
        <v>45</v>
      </c>
      <c r="F16" s="93"/>
      <c r="G16" s="223">
        <f>C16*D16</f>
        <v>1250</v>
      </c>
      <c r="H16" s="104">
        <f>IF(Inputs!$F$26=0,0,IF(G16="","",G16/Inputs!$F$26))</f>
        <v>5.5555555555555554</v>
      </c>
    </row>
    <row r="17" spans="1:27">
      <c r="B17" s="92" t="s">
        <v>113</v>
      </c>
      <c r="C17" s="129">
        <f>IF(Inputs!F12=0,0,Inputs!F10/Inputs!F12*(1-Inputs!F13))</f>
        <v>0.4</v>
      </c>
      <c r="D17" s="93">
        <f>Inputs!F11</f>
        <v>400</v>
      </c>
      <c r="E17" s="93" t="s">
        <v>45</v>
      </c>
      <c r="F17" s="93"/>
      <c r="G17" s="223">
        <f>C17*D17</f>
        <v>160</v>
      </c>
      <c r="H17" s="104">
        <f>IF(Inputs!$F$26=0,0,IF(G17="","",G17/Inputs!$F$26))</f>
        <v>0.71111111111111114</v>
      </c>
    </row>
    <row r="18" spans="1:27" ht="13.5" thickBot="1">
      <c r="B18" s="92" t="s">
        <v>117</v>
      </c>
      <c r="C18" s="182">
        <f>Inputs!F22</f>
        <v>0</v>
      </c>
      <c r="D18" s="93">
        <f>Inputs!F23</f>
        <v>0</v>
      </c>
      <c r="E18" s="93" t="s">
        <v>2</v>
      </c>
      <c r="F18" s="93"/>
      <c r="G18" s="282">
        <f>C18*D18</f>
        <v>0</v>
      </c>
      <c r="H18" s="283">
        <f>IF(Inputs!$F$26=0,0,IF(G18="","",G18/Inputs!$F$26))</f>
        <v>0</v>
      </c>
    </row>
    <row r="19" spans="1:27" ht="13.5" thickTop="1">
      <c r="B19" s="70"/>
      <c r="C19" s="182"/>
      <c r="D19" s="93"/>
      <c r="F19" s="195" t="s">
        <v>76</v>
      </c>
      <c r="G19" s="194">
        <f>SUM(G16:G18)</f>
        <v>1410</v>
      </c>
      <c r="H19" s="104">
        <f>SUM(H16:H18)</f>
        <v>6.2666666666666666</v>
      </c>
    </row>
    <row r="20" spans="1:27">
      <c r="B20" s="92"/>
      <c r="C20" s="75"/>
      <c r="D20" s="105"/>
      <c r="E20" s="93"/>
      <c r="F20" s="93"/>
      <c r="G20" s="93"/>
      <c r="H20" s="104" t="str">
        <f>IF(G20="","",G20/Inputs!$F$26)</f>
        <v/>
      </c>
    </row>
    <row r="21" spans="1:27" s="116" customFormat="1" ht="12.75" customHeight="1">
      <c r="A21" s="312"/>
      <c r="B21" s="92"/>
      <c r="C21" s="392" t="s">
        <v>75</v>
      </c>
      <c r="D21" s="101"/>
      <c r="E21" s="93"/>
      <c r="F21" s="93"/>
      <c r="G21" s="93"/>
      <c r="H21" s="106"/>
      <c r="I21" s="332"/>
      <c r="J21" s="332"/>
      <c r="K21" s="332"/>
      <c r="L21" s="332"/>
      <c r="M21" s="332"/>
      <c r="N21" s="332"/>
      <c r="O21" s="332"/>
      <c r="P21" s="332"/>
      <c r="Q21" s="332"/>
      <c r="R21" s="332"/>
      <c r="S21" s="332"/>
      <c r="T21" s="332"/>
      <c r="U21" s="332"/>
      <c r="V21" s="332"/>
      <c r="W21" s="332"/>
      <c r="X21" s="332"/>
      <c r="Y21" s="332"/>
      <c r="Z21" s="332"/>
      <c r="AA21" s="312"/>
    </row>
    <row r="22" spans="1:27" s="116" customFormat="1" ht="14.25" customHeight="1">
      <c r="A22" s="312"/>
      <c r="B22" s="134" t="s">
        <v>8</v>
      </c>
      <c r="C22" s="392"/>
      <c r="D22" s="87"/>
      <c r="E22" s="82" t="s">
        <v>6</v>
      </c>
      <c r="F22" s="93"/>
      <c r="G22" s="253" t="s">
        <v>41</v>
      </c>
      <c r="H22" s="295" t="s">
        <v>41</v>
      </c>
      <c r="I22" s="332"/>
      <c r="J22" s="332"/>
      <c r="K22" s="332"/>
      <c r="L22" s="332"/>
      <c r="M22" s="332"/>
      <c r="N22" s="332"/>
      <c r="O22" s="332"/>
      <c r="P22" s="332"/>
      <c r="Q22" s="332"/>
      <c r="R22" s="332"/>
      <c r="S22" s="332"/>
      <c r="T22" s="332"/>
      <c r="U22" s="332"/>
      <c r="V22" s="332"/>
      <c r="W22" s="332"/>
      <c r="X22" s="332"/>
      <c r="Y22" s="332"/>
      <c r="Z22" s="332"/>
      <c r="AA22" s="312"/>
    </row>
    <row r="23" spans="1:27" ht="12.75" customHeight="1">
      <c r="B23" s="92" t="str">
        <f>IF(Inputs!B32="","",Inputs!B32)</f>
        <v>Grass Hay</v>
      </c>
      <c r="C23" s="132">
        <f>IFERROR(VLOOKUP(B23,FlockFeed,2,FALSE)*IF(VLOOKUP(B23,FlockFeed,4,FALSE)="per animal",Inputs!$F$3,1),0)+IFERROR(VLOOKUP(B23,RamsFeed,2,FALSE)*IF(VLOOKUP(B23,RamsFeed,4,FALSE)="per animal",Inputs!$F$10,1),0)+IFERROR(VLOOKUP(B23,FinishFeed,2,FALSE)*IF(VLOOKUP(B23,FinishFeed,4,FALSE)="per animal",('Finish Lambs'!$C$12+'Finish Lambs'!$C$13+'Finish Lambs'!$C$4)/2,1),0)+IFERROR(VLOOKUP(B23,ReplacementFeed,2,FALSE)*IF(VLOOKUP(B23,ReplacementFeed,4,FALSE)="per animal",Inputs!$F$10,1),0)</f>
        <v>111500</v>
      </c>
      <c r="D23" s="87" t="str">
        <f t="shared" ref="D23:D32" si="0">IFERROR(VLOOKUP(B23,Feed, 4,FALSE)&amp;"s  @","")</f>
        <v>poundss  @</v>
      </c>
      <c r="E23" s="95">
        <f t="shared" ref="E23:E32" si="1">IF(B23="","",VLOOKUP($B23,Feed,6,FALSE))</f>
        <v>3.4166666666666665E-2</v>
      </c>
      <c r="F23" s="93" t="str">
        <f t="shared" ref="F23:F32" si="2">IF(B23="","",CONCATENATE("per ",VLOOKUP(B23,Feed,4,FALSE)))</f>
        <v>per pounds</v>
      </c>
      <c r="G23" s="223">
        <f t="shared" ref="G23:G30" si="3">IF(B23="","",IFERROR(C23*E23,0))</f>
        <v>3809.583333333333</v>
      </c>
      <c r="H23" s="104">
        <f>IF(G23="","",G23/Inputs!$F$26)</f>
        <v>16.93148148148148</v>
      </c>
    </row>
    <row r="24" spans="1:27" ht="14.25" customHeight="1">
      <c r="B24" s="92" t="str">
        <f>IF(Inputs!B33="","",Inputs!B33)</f>
        <v>Alfalfa Hay</v>
      </c>
      <c r="C24" s="132">
        <f>IFERROR(VLOOKUP(B24,FlockFeed,2,FALSE)*IF(VLOOKUP(B24,FlockFeed,4,FALSE)="per animal",Inputs!$F$3,1),0)+IFERROR(VLOOKUP(B24,RamsFeed,2,FALSE)*IF(VLOOKUP(B24,RamsFeed,4,FALSE)="per animal",Inputs!$F$10,1),0)+IFERROR(VLOOKUP(B24,FinishFeed,2,FALSE)*IF(VLOOKUP(B24,FinishFeed,4,FALSE)="per animal",('Finish Lambs'!$C$12+'Finish Lambs'!$C$13+'Finish Lambs'!$C$4)/2,1),0)+IFERROR(VLOOKUP(B24,ReplacementFeed,2,FALSE)*IF(VLOOKUP(B24,ReplacementFeed,4,FALSE)="per animal",Inputs!$F$10,1),0)</f>
        <v>111500</v>
      </c>
      <c r="D24" s="87" t="str">
        <f t="shared" si="0"/>
        <v>poundss  @</v>
      </c>
      <c r="E24" s="95">
        <f t="shared" si="1"/>
        <v>3.5833333333333335E-2</v>
      </c>
      <c r="F24" s="93" t="str">
        <f t="shared" si="2"/>
        <v>per pounds</v>
      </c>
      <c r="G24" s="223">
        <f t="shared" si="3"/>
        <v>3995.416666666667</v>
      </c>
      <c r="H24" s="104">
        <f>IF(G24="","",G24/Inputs!$F$26)</f>
        <v>17.75740740740741</v>
      </c>
    </row>
    <row r="25" spans="1:27">
      <c r="B25" s="92" t="str">
        <f>IF(Inputs!B34="","",Inputs!B34)</f>
        <v>Modified Distillers Grains</v>
      </c>
      <c r="C25" s="132">
        <f>IFERROR(VLOOKUP(B25,FlockFeed,2,FALSE)*IF(VLOOKUP(B25,FlockFeed,4,FALSE)="per animal",Inputs!$F$3,1),0)+IFERROR(VLOOKUP(B25,RamsFeed,2,FALSE)*IF(VLOOKUP(B25,RamsFeed,4,FALSE)="per animal",Inputs!$F$10,1),0)+IFERROR(VLOOKUP(B25,FinishFeed,2,FALSE)*IF(VLOOKUP(B25,FinishFeed,4,FALSE)="per animal",('Finish Lambs'!$C$12+'Finish Lambs'!$C$13+'Finish Lambs'!$C$4)/2,1),0)+IFERROR(VLOOKUP(B25,ReplacementFeed,2,FALSE)*IF(VLOOKUP(B25,ReplacementFeed,4,FALSE)="per animal",Inputs!$F$10,1),0)</f>
        <v>27735</v>
      </c>
      <c r="D25" s="87" t="str">
        <f t="shared" si="0"/>
        <v>poundss  @</v>
      </c>
      <c r="E25" s="95">
        <f t="shared" si="1"/>
        <v>2.5000000000000001E-2</v>
      </c>
      <c r="F25" s="93" t="str">
        <f t="shared" si="2"/>
        <v>per pounds</v>
      </c>
      <c r="G25" s="223">
        <f t="shared" si="3"/>
        <v>693.375</v>
      </c>
      <c r="H25" s="104">
        <f>IF(G25="","",G25/Inputs!$F$26)</f>
        <v>3.0816666666666666</v>
      </c>
    </row>
    <row r="26" spans="1:27">
      <c r="B26" s="92" t="str">
        <f>IF(Inputs!B35="","",Inputs!B35)</f>
        <v>Mineral</v>
      </c>
      <c r="C26" s="132">
        <f>IFERROR(VLOOKUP(B26,FlockFeed,2,FALSE)*IF(VLOOKUP(B26,FlockFeed,4,FALSE)="per animal",Inputs!$F$3,1),0)+IFERROR(VLOOKUP(B26,RamsFeed,2,FALSE)*IF(VLOOKUP(B26,RamsFeed,4,FALSE)="per animal",Inputs!$F$10,1),0)+IFERROR(VLOOKUP(B26,FinishFeed,2,FALSE)*IF(VLOOKUP(B26,FinishFeed,4,FALSE)="per animal",('Finish Lambs'!$C$12+'Finish Lambs'!$C$13+'Finish Lambs'!$C$4)/2,1),0)+IFERROR(VLOOKUP(B26,ReplacementFeed,2,FALSE)*IF(VLOOKUP(B26,ReplacementFeed,4,FALSE)="per animal",Inputs!$F$10,1),0)</f>
        <v>1200</v>
      </c>
      <c r="D26" s="87" t="str">
        <f t="shared" si="0"/>
        <v>poundss  @</v>
      </c>
      <c r="E26" s="95">
        <f t="shared" si="1"/>
        <v>0.56000000000000005</v>
      </c>
      <c r="F26" s="93" t="str">
        <f t="shared" si="2"/>
        <v>per pounds</v>
      </c>
      <c r="G26" s="223">
        <f t="shared" si="3"/>
        <v>672.00000000000011</v>
      </c>
      <c r="H26" s="104">
        <f>IF(G26="","",G26/Inputs!$F$26)</f>
        <v>2.9866666666666672</v>
      </c>
    </row>
    <row r="27" spans="1:27">
      <c r="B27" s="92" t="str">
        <f>IF(Inputs!B36="","",Inputs!B36)</f>
        <v/>
      </c>
      <c r="C27" s="132">
        <f>IFERROR(VLOOKUP(B27,FlockFeed,2,FALSE)*IF(VLOOKUP(B27,FlockFeed,4,FALSE)="per animal",Inputs!$F$3,1),0)+IFERROR(VLOOKUP(B27,RamsFeed,2,FALSE)*IF(VLOOKUP(B27,RamsFeed,4,FALSE)="per animal",Inputs!$F$10,1),0)+IFERROR(VLOOKUP(B27,FinishFeed,2,FALSE)*IF(VLOOKUP(B27,FinishFeed,4,FALSE)="per animal",('Finish Lambs'!$C$12+'Finish Lambs'!$C$13+'Finish Lambs'!$C$4)/2,1),0)+IFERROR(VLOOKUP(B27,ReplacementFeed,2,FALSE)*IF(VLOOKUP(B27,ReplacementFeed,4,FALSE)="per animal",Inputs!$F$10,1),0)</f>
        <v>0</v>
      </c>
      <c r="D27" s="87" t="str">
        <f t="shared" si="0"/>
        <v/>
      </c>
      <c r="E27" s="95" t="str">
        <f t="shared" si="1"/>
        <v/>
      </c>
      <c r="F27" s="93" t="str">
        <f t="shared" si="2"/>
        <v/>
      </c>
      <c r="G27" s="223" t="str">
        <f t="shared" si="3"/>
        <v/>
      </c>
      <c r="H27" s="104" t="str">
        <f>IF(G27="","",G27/Inputs!$F$26)</f>
        <v/>
      </c>
    </row>
    <row r="28" spans="1:27">
      <c r="B28" s="92" t="str">
        <f>IF(Inputs!B37="","",Inputs!B37)</f>
        <v/>
      </c>
      <c r="C28" s="132">
        <f>IFERROR(VLOOKUP(B28,FlockFeed,2,FALSE)*IF(VLOOKUP(B28,FlockFeed,4,FALSE)="per animal",Inputs!$F$3,1),0)+IFERROR(VLOOKUP(B28,RamsFeed,2,FALSE)*IF(VLOOKUP(B28,RamsFeed,4,FALSE)="per animal",Inputs!$F$10,1),0)+IFERROR(VLOOKUP(B28,FinishFeed,2,FALSE)*IF(VLOOKUP(B28,FinishFeed,4,FALSE)="per animal",('Finish Lambs'!$C$12+'Finish Lambs'!$C$13+'Finish Lambs'!$C$4)/2,1),0)+IFERROR(VLOOKUP(B28,ReplacementFeed,2,FALSE)*IF(VLOOKUP(B28,ReplacementFeed,4,FALSE)="per animal",Inputs!$F$10,1),0)</f>
        <v>0</v>
      </c>
      <c r="D28" s="87" t="str">
        <f t="shared" si="0"/>
        <v/>
      </c>
      <c r="E28" s="95" t="str">
        <f t="shared" si="1"/>
        <v/>
      </c>
      <c r="F28" s="93" t="str">
        <f t="shared" si="2"/>
        <v/>
      </c>
      <c r="G28" s="223" t="str">
        <f t="shared" si="3"/>
        <v/>
      </c>
      <c r="H28" s="104" t="str">
        <f>IF(G28="","",G28/Inputs!$F$26)</f>
        <v/>
      </c>
    </row>
    <row r="29" spans="1:27">
      <c r="B29" s="92" t="str">
        <f>IF(Inputs!B38="","",Inputs!B38)</f>
        <v/>
      </c>
      <c r="C29" s="132">
        <f>IFERROR(VLOOKUP(B29,FlockFeed,2,FALSE)*IF(VLOOKUP(B29,FlockFeed,4,FALSE)="per animal",Inputs!$F$3,1),0)+IFERROR(VLOOKUP(B29,RamsFeed,2,FALSE)*IF(VLOOKUP(B29,RamsFeed,4,FALSE)="per animal",Inputs!$F$10,1),0)+IFERROR(VLOOKUP(B29,FinishFeed,2,FALSE)*IF(VLOOKUP(B29,FinishFeed,4,FALSE)="per animal",('Finish Lambs'!$C$12+'Finish Lambs'!$C$13+'Finish Lambs'!$C$4)/2,1),0)+IFERROR(VLOOKUP(B29,ReplacementFeed,2,FALSE)*IF(VLOOKUP(B29,ReplacementFeed,4,FALSE)="per animal",Inputs!$F$10,1),0)</f>
        <v>0</v>
      </c>
      <c r="D29" s="87" t="str">
        <f t="shared" si="0"/>
        <v/>
      </c>
      <c r="E29" s="95" t="str">
        <f t="shared" si="1"/>
        <v/>
      </c>
      <c r="F29" s="93" t="str">
        <f t="shared" si="2"/>
        <v/>
      </c>
      <c r="G29" s="223" t="str">
        <f t="shared" si="3"/>
        <v/>
      </c>
      <c r="H29" s="104" t="str">
        <f>IF(G29="","",G29/Inputs!$F$26)</f>
        <v/>
      </c>
    </row>
    <row r="30" spans="1:27">
      <c r="B30" s="92" t="str">
        <f>IF(Inputs!B39="","",Inputs!B39)</f>
        <v/>
      </c>
      <c r="C30" s="132">
        <f>IFERROR(VLOOKUP(B30,FlockFeed,2,FALSE)*IF(VLOOKUP(B30,FlockFeed,4,FALSE)="per animal",Inputs!$F$3,1),0)+IFERROR(VLOOKUP(B30,RamsFeed,2,FALSE)*IF(VLOOKUP(B30,RamsFeed,4,FALSE)="per animal",Inputs!$F$10,1),0)+IFERROR(VLOOKUP(B30,FinishFeed,2,FALSE)*IF(VLOOKUP(B30,FinishFeed,4,FALSE)="per animal",('Finish Lambs'!$C$12+'Finish Lambs'!$C$13+'Finish Lambs'!$C$4)/2,1),0)+IFERROR(VLOOKUP(B30,ReplacementFeed,2,FALSE)*IF(VLOOKUP(B30,ReplacementFeed,4,FALSE)="per animal",Inputs!$F$10,1),0)</f>
        <v>0</v>
      </c>
      <c r="D30" s="87" t="str">
        <f t="shared" si="0"/>
        <v/>
      </c>
      <c r="E30" s="95" t="str">
        <f t="shared" si="1"/>
        <v/>
      </c>
      <c r="F30" s="93" t="str">
        <f t="shared" si="2"/>
        <v/>
      </c>
      <c r="G30" s="223" t="str">
        <f t="shared" si="3"/>
        <v/>
      </c>
      <c r="H30" s="104" t="str">
        <f>IF(G30="","",G30/Inputs!$F$26)</f>
        <v/>
      </c>
    </row>
    <row r="31" spans="1:27">
      <c r="B31" s="92" t="str">
        <f>IF(Inputs!B40="","",Inputs!B40)</f>
        <v/>
      </c>
      <c r="C31" s="132">
        <f>IFERROR(VLOOKUP(B31,FlockFeed,2,FALSE)*IF(VLOOKUP(B31,FlockFeed,4,FALSE)="per animal",Inputs!$F$3,1),0)+IFERROR(VLOOKUP(B31,RamsFeed,2,FALSE)*IF(VLOOKUP(B31,RamsFeed,4,FALSE)="per animal",Inputs!$F$10,1),0)+IFERROR(VLOOKUP(B31,FinishFeed,2,FALSE)*IF(VLOOKUP(B31,FinishFeed,4,FALSE)="per animal",('Finish Lambs'!$C$12+'Finish Lambs'!$C$13+'Finish Lambs'!$C$4)/2,1),0)+IFERROR(VLOOKUP(B31,ReplacementFeed,2,FALSE)*IF(VLOOKUP(B31,ReplacementFeed,4,FALSE)="per animal",Inputs!$F$10,1),0)</f>
        <v>0</v>
      </c>
      <c r="D31" s="87" t="str">
        <f t="shared" si="0"/>
        <v/>
      </c>
      <c r="E31" s="95" t="str">
        <f t="shared" si="1"/>
        <v/>
      </c>
      <c r="F31" s="93" t="str">
        <f t="shared" si="2"/>
        <v/>
      </c>
      <c r="G31" s="223" t="str">
        <f>IF(B31="","",IFERROR(C31*E31,0))</f>
        <v/>
      </c>
      <c r="H31" s="104" t="str">
        <f>IF(G31="","",G31/Inputs!$F$26)</f>
        <v/>
      </c>
    </row>
    <row r="32" spans="1:27" ht="13.5" thickBot="1">
      <c r="B32" s="92" t="str">
        <f>IF(Inputs!B41="","",Inputs!B41)</f>
        <v/>
      </c>
      <c r="C32" s="132">
        <f>IFERROR(VLOOKUP(B32,FlockFeed,2,FALSE)*IF(VLOOKUP(B32,FlockFeed,4,FALSE)="per animal",Inputs!$F$3,1),0)+IFERROR(VLOOKUP(B32,RamsFeed,2,FALSE)*IF(VLOOKUP(B32,RamsFeed,4,FALSE)="per animal",Inputs!$F$10,1),0)+IFERROR(VLOOKUP(B32,FinishFeed,2,FALSE)*IF(VLOOKUP(B32,FinishFeed,4,FALSE)="per animal",('Finish Lambs'!$C$12+'Finish Lambs'!$C$13+'Finish Lambs'!$C$4)/2,1),0)+IFERROR(VLOOKUP(B32,ReplacementFeed,2,FALSE)*IF(VLOOKUP(B32,ReplacementFeed,4,FALSE)="per animal",Inputs!$F$10,1),0)</f>
        <v>0</v>
      </c>
      <c r="D32" s="87" t="str">
        <f t="shared" si="0"/>
        <v/>
      </c>
      <c r="E32" s="95" t="str">
        <f t="shared" si="1"/>
        <v/>
      </c>
      <c r="F32" s="93" t="str">
        <f t="shared" si="2"/>
        <v/>
      </c>
      <c r="G32" s="227" t="str">
        <f>IF(B32="","",C32*E32)</f>
        <v/>
      </c>
      <c r="H32" s="283" t="str">
        <f>IF(G32="","",G32/Inputs!$F$26)</f>
        <v/>
      </c>
    </row>
    <row r="33" spans="2:8" ht="13.5" thickTop="1">
      <c r="B33" s="92"/>
      <c r="C33" s="74"/>
      <c r="D33" s="93"/>
      <c r="F33" s="71" t="s">
        <v>47</v>
      </c>
      <c r="G33" s="228">
        <f>SUM(G23:G32)</f>
        <v>9170.375</v>
      </c>
      <c r="H33" s="106">
        <f>SUM(H23:H32)</f>
        <v>40.757222222222218</v>
      </c>
    </row>
    <row r="34" spans="2:8">
      <c r="B34" s="92"/>
      <c r="C34" s="74"/>
      <c r="D34" s="123"/>
      <c r="E34" s="93"/>
      <c r="F34" s="93"/>
      <c r="G34" s="93"/>
      <c r="H34" s="104"/>
    </row>
    <row r="35" spans="2:8">
      <c r="B35" s="134" t="s">
        <v>63</v>
      </c>
      <c r="C35" s="74"/>
      <c r="D35" s="147"/>
      <c r="E35" s="82"/>
      <c r="F35" s="82"/>
      <c r="G35" s="253" t="s">
        <v>41</v>
      </c>
      <c r="H35" s="295" t="s">
        <v>41</v>
      </c>
    </row>
    <row r="36" spans="2:8">
      <c r="B36" s="92" t="str">
        <f>IF(Inputs!B45="","",Inputs!B45)</f>
        <v>Labor</v>
      </c>
      <c r="C36" s="74"/>
      <c r="D36" s="136"/>
      <c r="E36" s="103"/>
      <c r="F36" s="103"/>
      <c r="G36" s="223">
        <f t="shared" ref="G36:G51" si="4">IF(B36="","",IFERROR(VLOOKUP(B36,FlockNonFeed,7,FALSE),0)+IFERROR(VLOOKUP(B36,RamsNonFeed,7,FALSE),0)+IFERROR(VLOOKUP(B36,FinishNonFeed,7,FALSE),0))</f>
        <v>3650</v>
      </c>
      <c r="H36" s="104">
        <f>IF(G36="","",IFERROR(G36/Inputs!$F$26,""))</f>
        <v>16.222222222222221</v>
      </c>
    </row>
    <row r="37" spans="2:8">
      <c r="B37" s="92" t="str">
        <f>IF(Inputs!B46="","",Inputs!B46)</f>
        <v>Fuel</v>
      </c>
      <c r="C37" s="74"/>
      <c r="D37" s="136"/>
      <c r="E37" s="103"/>
      <c r="F37" s="103"/>
      <c r="G37" s="223">
        <f t="shared" si="4"/>
        <v>600</v>
      </c>
      <c r="H37" s="104">
        <f>IF(G37="","",IFERROR(G37/Inputs!$F$26,""))</f>
        <v>2.6666666666666665</v>
      </c>
    </row>
    <row r="38" spans="2:8">
      <c r="B38" s="92" t="str">
        <f>IF(Inputs!B47="","",Inputs!B47)</f>
        <v>Veterinary and Medical</v>
      </c>
      <c r="C38" s="74"/>
      <c r="D38" s="136"/>
      <c r="E38" s="103"/>
      <c r="F38" s="103"/>
      <c r="G38" s="223">
        <f t="shared" si="4"/>
        <v>600</v>
      </c>
      <c r="H38" s="104">
        <f>IF(G38="","",IFERROR(G38/Inputs!$F$26,""))</f>
        <v>2.6666666666666665</v>
      </c>
    </row>
    <row r="39" spans="2:8">
      <c r="B39" s="92" t="str">
        <f>IF(Inputs!B48="","",Inputs!B48)</f>
        <v>Weaned Lamb Marketing</v>
      </c>
      <c r="C39" s="74"/>
      <c r="D39" s="136"/>
      <c r="E39" s="103"/>
      <c r="F39" s="103"/>
      <c r="G39" s="223">
        <f t="shared" si="4"/>
        <v>562.5</v>
      </c>
      <c r="H39" s="104">
        <f>IF(G39="","",IFERROR(G39/Inputs!$F$26,""))</f>
        <v>2.5</v>
      </c>
    </row>
    <row r="40" spans="2:8">
      <c r="B40" s="92" t="str">
        <f>IF(Inputs!B50="","",Inputs!B50)</f>
        <v>Cull Ewe Marketing</v>
      </c>
      <c r="C40" s="74"/>
      <c r="D40" s="136"/>
      <c r="E40" s="103"/>
      <c r="F40" s="103"/>
      <c r="G40" s="223">
        <f t="shared" si="4"/>
        <v>50</v>
      </c>
      <c r="H40" s="104">
        <f>IF(G40="","",IFERROR(G40/Inputs!$F$26,""))</f>
        <v>0.22222222222222221</v>
      </c>
    </row>
    <row r="41" spans="2:8">
      <c r="B41" s="92" t="str">
        <f>IF(Inputs!B51="","",Inputs!B51)</f>
        <v>Cull Ram Marketing</v>
      </c>
      <c r="C41" s="74"/>
      <c r="D41" s="136"/>
      <c r="E41" s="103"/>
      <c r="F41" s="103"/>
      <c r="G41" s="223">
        <f t="shared" si="4"/>
        <v>1</v>
      </c>
      <c r="H41" s="104">
        <f>IF(G41="","",IFERROR(G41/Inputs!$F$26,""))</f>
        <v>4.4444444444444444E-3</v>
      </c>
    </row>
    <row r="42" spans="2:8">
      <c r="B42" s="92" t="str">
        <f>IF(Inputs!B52="","",Inputs!B52)</f>
        <v>Trucking</v>
      </c>
      <c r="C42" s="74"/>
      <c r="D42" s="136"/>
      <c r="E42" s="103"/>
      <c r="F42" s="103"/>
      <c r="G42" s="223">
        <f t="shared" si="4"/>
        <v>150</v>
      </c>
      <c r="H42" s="104">
        <f>IF(G42="","",IFERROR(G42/Inputs!$F$26,""))</f>
        <v>0.66666666666666663</v>
      </c>
    </row>
    <row r="43" spans="2:8">
      <c r="B43" s="92" t="str">
        <f>IF(Inputs!B53="","",Inputs!B53)</f>
        <v/>
      </c>
      <c r="C43" s="74"/>
      <c r="D43" s="136"/>
      <c r="E43" s="103"/>
      <c r="F43" s="103"/>
      <c r="G43" s="223" t="str">
        <f t="shared" si="4"/>
        <v/>
      </c>
      <c r="H43" s="104" t="str">
        <f>IF(G43="","",IFERROR(G43/Inputs!$F$26,""))</f>
        <v/>
      </c>
    </row>
    <row r="44" spans="2:8">
      <c r="B44" s="92" t="str">
        <f>IF(Inputs!B54="","",Inputs!B54)</f>
        <v/>
      </c>
      <c r="C44" s="74"/>
      <c r="D44" s="136"/>
      <c r="E44" s="103"/>
      <c r="F44" s="103"/>
      <c r="G44" s="223" t="str">
        <f t="shared" si="4"/>
        <v/>
      </c>
      <c r="H44" s="104" t="str">
        <f>IF(G44="","",IFERROR(G44/Inputs!$F$26,""))</f>
        <v/>
      </c>
    </row>
    <row r="45" spans="2:8">
      <c r="B45" s="92" t="str">
        <f>IF(Inputs!B55="","",Inputs!B55)</f>
        <v/>
      </c>
      <c r="C45" s="74"/>
      <c r="D45" s="136"/>
      <c r="E45" s="103"/>
      <c r="F45" s="103"/>
      <c r="G45" s="223" t="str">
        <f t="shared" si="4"/>
        <v/>
      </c>
      <c r="H45" s="104" t="str">
        <f>IF(G45="","",IFERROR(G45/Inputs!$F$26,""))</f>
        <v/>
      </c>
    </row>
    <row r="46" spans="2:8">
      <c r="B46" s="92" t="str">
        <f>IF(Inputs!B56="","",Inputs!B56)</f>
        <v/>
      </c>
      <c r="C46" s="74"/>
      <c r="D46" s="136"/>
      <c r="E46" s="103" t="s">
        <v>12</v>
      </c>
      <c r="F46" s="103"/>
      <c r="G46" s="223" t="str">
        <f t="shared" si="4"/>
        <v/>
      </c>
      <c r="H46" s="104" t="str">
        <f>IF(G46="","",IFERROR(G46/Inputs!$F$26,""))</f>
        <v/>
      </c>
    </row>
    <row r="47" spans="2:8">
      <c r="B47" s="92"/>
      <c r="C47" s="74"/>
      <c r="D47" s="136"/>
      <c r="E47" s="103"/>
      <c r="F47" s="103"/>
      <c r="G47" s="223" t="str">
        <f t="shared" si="4"/>
        <v/>
      </c>
      <c r="H47" s="104" t="str">
        <f>IF(G47="","",IFERROR(G47/Inputs!$F$26,""))</f>
        <v/>
      </c>
    </row>
    <row r="48" spans="2:8">
      <c r="B48" s="92"/>
      <c r="C48" s="74"/>
      <c r="D48" s="136"/>
      <c r="E48" s="103"/>
      <c r="F48" s="103"/>
      <c r="G48" s="223" t="str">
        <f t="shared" si="4"/>
        <v/>
      </c>
      <c r="H48" s="104" t="str">
        <f>IF(G48="","",IFERROR(G48/Inputs!$F$26,""))</f>
        <v/>
      </c>
    </row>
    <row r="49" spans="2:8">
      <c r="B49" s="92" t="str">
        <f>IF(Inputs!B57="","",Inputs!B57)</f>
        <v/>
      </c>
      <c r="C49" s="74"/>
      <c r="D49" s="136"/>
      <c r="E49" s="103" t="s">
        <v>12</v>
      </c>
      <c r="F49" s="103"/>
      <c r="G49" s="223" t="str">
        <f t="shared" si="4"/>
        <v/>
      </c>
      <c r="H49" s="104" t="str">
        <f>IF(G49="","",IFERROR(G49/Inputs!$F$26,""))</f>
        <v/>
      </c>
    </row>
    <row r="50" spans="2:8">
      <c r="B50" s="92" t="str">
        <f>IF(Inputs!B58="","",Inputs!B58)</f>
        <v/>
      </c>
      <c r="C50" s="74"/>
      <c r="D50" s="136"/>
      <c r="E50" s="103"/>
      <c r="F50" s="103"/>
      <c r="G50" s="223" t="str">
        <f t="shared" si="4"/>
        <v/>
      </c>
      <c r="H50" s="104" t="str">
        <f>IF(G50="","",G50/Inputs!$F$26)</f>
        <v/>
      </c>
    </row>
    <row r="51" spans="2:8" ht="13.5" thickBot="1">
      <c r="B51" s="92" t="s">
        <v>48</v>
      </c>
      <c r="C51" s="74"/>
      <c r="D51" s="93"/>
      <c r="E51" s="103"/>
      <c r="F51" s="103"/>
      <c r="G51" s="227">
        <f t="shared" si="4"/>
        <v>259.29562499999997</v>
      </c>
      <c r="H51" s="283">
        <f>IF(Inputs!F26=0,0,IF(G51="","",G51/Inputs!$F$26))</f>
        <v>1.1524249999999998</v>
      </c>
    </row>
    <row r="52" spans="2:8" ht="14.25" thickTop="1" thickBot="1">
      <c r="B52" s="96"/>
      <c r="C52" s="77"/>
      <c r="D52" s="97"/>
      <c r="F52" s="107" t="s">
        <v>65</v>
      </c>
      <c r="G52" s="139">
        <f>SUM(G36:G51)</f>
        <v>5872.7956249999997</v>
      </c>
      <c r="H52" s="108">
        <f>SUM(H36:H51)</f>
        <v>26.101313888888892</v>
      </c>
    </row>
    <row r="53" spans="2:8" ht="16.5" thickBot="1">
      <c r="B53" s="121"/>
      <c r="C53" s="81"/>
      <c r="D53" s="81"/>
      <c r="E53" s="81"/>
      <c r="F53" s="62" t="s">
        <v>49</v>
      </c>
      <c r="G53" s="306">
        <f>G19+G33+G52</f>
        <v>16453.170624999999</v>
      </c>
      <c r="H53" s="307">
        <f>H19+H33+H52</f>
        <v>73.125202777777773</v>
      </c>
    </row>
    <row r="54" spans="2:8" ht="13.5" thickBot="1">
      <c r="B54" s="117"/>
      <c r="C54" s="93"/>
      <c r="D54" s="93"/>
      <c r="E54" s="105"/>
      <c r="F54" s="105"/>
      <c r="G54" s="105"/>
      <c r="H54" s="109"/>
    </row>
    <row r="55" spans="2:8" ht="26.25" thickBot="1">
      <c r="B55" s="121" t="s">
        <v>50</v>
      </c>
      <c r="C55" s="221"/>
      <c r="D55" s="222"/>
      <c r="E55" s="222"/>
      <c r="F55" s="222"/>
      <c r="G55" s="274" t="s">
        <v>137</v>
      </c>
      <c r="H55" s="287" t="s">
        <v>126</v>
      </c>
    </row>
    <row r="56" spans="2:8" ht="25.5">
      <c r="B56" s="90" t="s">
        <v>51</v>
      </c>
      <c r="C56" s="199" t="s">
        <v>78</v>
      </c>
      <c r="D56" s="200" t="s">
        <v>67</v>
      </c>
      <c r="E56" s="91" t="s">
        <v>20</v>
      </c>
      <c r="F56" s="91"/>
      <c r="G56" s="127" t="s">
        <v>41</v>
      </c>
      <c r="H56" s="168" t="s">
        <v>41</v>
      </c>
    </row>
    <row r="57" spans="2:8">
      <c r="B57" s="92" t="str">
        <f>IF(Inputs!B63="","",Inputs!B63)</f>
        <v>Farm Flock Housing</v>
      </c>
      <c r="C57" s="132">
        <f>IF(VLOOKUP($B57,Depreciable,4,FALSE)=0,0,IF($B57="","",(VLOOKUP($B57,Depreciable,2,FALSE)-VLOOKUP($B57,Depreciable,3,FALSE))/VLOOKUP($B57,Depreciable,4,FALSE)))</f>
        <v>0</v>
      </c>
      <c r="D57" s="102">
        <f>IF($B57="","",(VLOOKUP($B57,Depreciable,2,FALSE)*Inputs!$D$75))</f>
        <v>0</v>
      </c>
      <c r="E57" s="102">
        <f t="shared" ref="E57:E65" si="5">IF($B57="","",(VLOOKUP($B57,Depreciable,5,FALSE)))</f>
        <v>600</v>
      </c>
      <c r="F57" s="102"/>
      <c r="G57" s="223">
        <f t="shared" ref="G57:G65" si="6">SUM(C57:E57)</f>
        <v>600</v>
      </c>
      <c r="H57" s="104">
        <f>IF(Inputs!$F$26=0,0,IF(G57="","",G57/Inputs!$F$26))</f>
        <v>2.6666666666666665</v>
      </c>
    </row>
    <row r="58" spans="2:8">
      <c r="B58" s="92" t="str">
        <f>IF(Inputs!B64="","",Inputs!B64)</f>
        <v>Finishing Housing</v>
      </c>
      <c r="C58" s="132">
        <f>IF(VLOOKUP($B58,Depreciable,4,FALSE)=0,0,IF($B58="","",(VLOOKUP($B58,Depreciable,2,FALSE)-VLOOKUP($B58,Depreciable,3,FALSE))/VLOOKUP($B58,Depreciable,4,FALSE)))</f>
        <v>0</v>
      </c>
      <c r="D58" s="102">
        <f>IF($B58="","",(VLOOKUP($B58,Depreciable,2,FALSE)*Inputs!$D$75))</f>
        <v>0</v>
      </c>
      <c r="E58" s="102">
        <f t="shared" si="5"/>
        <v>0</v>
      </c>
      <c r="F58" s="102"/>
      <c r="G58" s="223">
        <f t="shared" si="6"/>
        <v>0</v>
      </c>
      <c r="H58" s="104">
        <f>IF(Inputs!$F$26=0,0,IF(G58="","",G58/Inputs!$F$26))</f>
        <v>0</v>
      </c>
    </row>
    <row r="59" spans="2:8">
      <c r="B59" s="92" t="str">
        <f>IF(Inputs!B65="","",Inputs!B65)</f>
        <v>Farm Flock Machinery</v>
      </c>
      <c r="C59" s="132">
        <f>IF(VLOOKUP($B59,Depreciable,4,FALSE)=0,0,IF($B59="","",(VLOOKUP($B59,Depreciable,2,FALSE)-VLOOKUP($B59,Depreciable,3,FALSE))/VLOOKUP($B59,Depreciable,4,FALSE)))</f>
        <v>0</v>
      </c>
      <c r="D59" s="102">
        <f>IF($B59="","",(VLOOKUP($B59,Depreciable,2,FALSE)*Inputs!$D$75))</f>
        <v>0</v>
      </c>
      <c r="E59" s="102">
        <f t="shared" si="5"/>
        <v>600</v>
      </c>
      <c r="F59" s="102"/>
      <c r="G59" s="223">
        <f t="shared" si="6"/>
        <v>600</v>
      </c>
      <c r="H59" s="104">
        <f>IF(Inputs!$F$26=0,0,IF(G59="","",G59/Inputs!$F$26))</f>
        <v>2.6666666666666665</v>
      </c>
    </row>
    <row r="60" spans="2:8">
      <c r="B60" s="92" t="str">
        <f>IF(Inputs!B66="","",Inputs!B66)</f>
        <v>Finishing Machinery</v>
      </c>
      <c r="C60" s="132">
        <f>IF(VLOOKUP($B60,Depreciable,4,FALSE)=0,0,IF($B60="","",(VLOOKUP($B60,Depreciable,2,FALSE)-VLOOKUP($B60,Depreciable,3,FALSE))/VLOOKUP($B60,Depreciable,4,FALSE)))</f>
        <v>0</v>
      </c>
      <c r="D60" s="102">
        <f>IF($B60="","",(VLOOKUP($B60,Depreciable,2,FALSE)*Inputs!$D$75))</f>
        <v>0</v>
      </c>
      <c r="E60" s="102">
        <f t="shared" si="5"/>
        <v>0</v>
      </c>
      <c r="F60" s="102"/>
      <c r="G60" s="223">
        <f t="shared" si="6"/>
        <v>0</v>
      </c>
      <c r="H60" s="104">
        <f>IF(Inputs!$F$26=0,0,IF(G60="","",G60/Inputs!$F$26))</f>
        <v>0</v>
      </c>
    </row>
    <row r="61" spans="2:8">
      <c r="B61" s="92" t="str">
        <f>IF(Inputs!B67="","",Inputs!B67)</f>
        <v/>
      </c>
      <c r="C61" s="132" t="str">
        <f>IF($B61="","",(VLOOKUP($B61,Depreciable,2,FALSE)-VLOOKUP($B61,Depreciable,3,FALSE))/VLOOKUP($B61,Depreciable,4,FALSE))</f>
        <v/>
      </c>
      <c r="D61" s="102" t="str">
        <f>IF($B61="","",(VLOOKUP($B61,Depreciable,2,FALSE)*Inputs!$D$75))</f>
        <v/>
      </c>
      <c r="E61" s="102" t="str">
        <f t="shared" si="5"/>
        <v/>
      </c>
      <c r="F61" s="102"/>
      <c r="G61" s="223">
        <f t="shared" si="6"/>
        <v>0</v>
      </c>
      <c r="H61" s="104">
        <f>IF(Inputs!$F$26=0,0,IF(G61="","",G61/Inputs!$F$26))</f>
        <v>0</v>
      </c>
    </row>
    <row r="62" spans="2:8">
      <c r="B62" s="92" t="str">
        <f>IF(Inputs!B68="","",Inputs!B68)</f>
        <v/>
      </c>
      <c r="C62" s="132" t="str">
        <f>IF($B62="","",(VLOOKUP($B62,Depreciable,2,FALSE)-VLOOKUP($B62,Depreciable,3,FALSE))/VLOOKUP($B62,Depreciable,4,FALSE))</f>
        <v/>
      </c>
      <c r="D62" s="102" t="str">
        <f>IF($B62="","",(VLOOKUP($B62,Depreciable,2,FALSE)*Inputs!$D$75))</f>
        <v/>
      </c>
      <c r="E62" s="102" t="str">
        <f t="shared" si="5"/>
        <v/>
      </c>
      <c r="F62" s="102"/>
      <c r="G62" s="223">
        <f t="shared" si="6"/>
        <v>0</v>
      </c>
      <c r="H62" s="104">
        <f>IF(Inputs!$F$26=0,0,IF(G62="","",G62/Inputs!$F$26))</f>
        <v>0</v>
      </c>
    </row>
    <row r="63" spans="2:8">
      <c r="B63" s="92" t="str">
        <f>IF(Inputs!B69="","",Inputs!B69)</f>
        <v/>
      </c>
      <c r="C63" s="132" t="str">
        <f>IF($B63="","",(VLOOKUP($B63,Depreciable,2,FALSE)-VLOOKUP($B63,Depreciable,3,FALSE))/VLOOKUP($B63,Depreciable,4,FALSE))</f>
        <v/>
      </c>
      <c r="D63" s="102" t="str">
        <f>IF($B63="","",(VLOOKUP($B63,Depreciable,2,FALSE)*Inputs!$D$75))</f>
        <v/>
      </c>
      <c r="E63" s="102" t="str">
        <f t="shared" si="5"/>
        <v/>
      </c>
      <c r="F63" s="102"/>
      <c r="G63" s="223">
        <f t="shared" si="6"/>
        <v>0</v>
      </c>
      <c r="H63" s="104">
        <f>IF(Inputs!$F$26=0,0,IF(G63="","",G63/Inputs!$F$26))</f>
        <v>0</v>
      </c>
    </row>
    <row r="64" spans="2:8">
      <c r="B64" s="92" t="str">
        <f>IF(Inputs!B70="","",Inputs!B70)</f>
        <v/>
      </c>
      <c r="C64" s="132" t="str">
        <f>IF($B64="","",(VLOOKUP($B64,Depreciable,2,FALSE)-VLOOKUP($B64,Depreciable,3,FALSE))/VLOOKUP($B64,Depreciable,4,FALSE))</f>
        <v/>
      </c>
      <c r="D64" s="102" t="str">
        <f>IF($B64="","",(VLOOKUP($B64,Depreciable,2,FALSE)*Inputs!$D$75))</f>
        <v/>
      </c>
      <c r="E64" s="102" t="str">
        <f t="shared" si="5"/>
        <v/>
      </c>
      <c r="F64" s="102"/>
      <c r="G64" s="223">
        <f t="shared" si="6"/>
        <v>0</v>
      </c>
      <c r="H64" s="104">
        <f>IF(Inputs!$F$26=0,0,IF(G64="","",G64/Inputs!$F$26))</f>
        <v>0</v>
      </c>
    </row>
    <row r="65" spans="1:27" ht="13.5" thickBot="1">
      <c r="B65" s="92" t="str">
        <f>IF(Inputs!B71="","",Inputs!B71)</f>
        <v/>
      </c>
      <c r="C65" s="132" t="str">
        <f>IF($B65="","",(VLOOKUP($B65,Depreciable,2,FALSE)-VLOOKUP($B65,Depreciable,3,FALSE))/VLOOKUP($B65,Depreciable,4,FALSE))</f>
        <v/>
      </c>
      <c r="D65" s="102" t="str">
        <f>IF($B65="","",(VLOOKUP($B65,Depreciable,2,FALSE)*Inputs!$D$75))</f>
        <v/>
      </c>
      <c r="E65" s="102" t="str">
        <f t="shared" si="5"/>
        <v/>
      </c>
      <c r="F65" s="102"/>
      <c r="G65" s="227">
        <f t="shared" si="6"/>
        <v>0</v>
      </c>
      <c r="H65" s="283">
        <f>IF(Inputs!$F$26=0,0,IF(G65="","",G65/Inputs!$F$26))</f>
        <v>0</v>
      </c>
    </row>
    <row r="66" spans="1:27" ht="13.5" thickTop="1">
      <c r="B66" s="92"/>
      <c r="C66" s="76"/>
      <c r="D66" s="103"/>
      <c r="E66" s="103"/>
      <c r="F66" s="72" t="s">
        <v>66</v>
      </c>
      <c r="G66" s="228">
        <f>SUM(G57:G65)</f>
        <v>1200</v>
      </c>
      <c r="H66" s="106">
        <f>SUM(H57:H65)</f>
        <v>5.333333333333333</v>
      </c>
    </row>
    <row r="67" spans="1:27">
      <c r="B67" s="92"/>
      <c r="C67" s="74"/>
      <c r="D67" s="93"/>
      <c r="E67" s="93"/>
      <c r="F67" s="105"/>
      <c r="G67" s="105"/>
      <c r="H67" s="104"/>
    </row>
    <row r="68" spans="1:27">
      <c r="B68" s="100" t="s">
        <v>73</v>
      </c>
      <c r="C68" s="74"/>
      <c r="D68" s="147"/>
      <c r="E68" s="147"/>
      <c r="F68" s="93"/>
      <c r="G68" s="253" t="s">
        <v>41</v>
      </c>
      <c r="H68" s="296" t="s">
        <v>41</v>
      </c>
    </row>
    <row r="69" spans="1:27">
      <c r="B69" s="92" t="s">
        <v>53</v>
      </c>
      <c r="C69" s="74"/>
      <c r="D69" s="148"/>
      <c r="E69" s="148"/>
      <c r="F69" s="93"/>
      <c r="G69" s="223">
        <f>Inputs!D78*Inputs!D75</f>
        <v>375</v>
      </c>
      <c r="H69" s="193">
        <f>IF(Inputs!$F$26=0,0,IF(G69="","",G69/Inputs!$F$26))</f>
        <v>1.6666666666666667</v>
      </c>
    </row>
    <row r="70" spans="1:27">
      <c r="B70" s="92" t="s">
        <v>27</v>
      </c>
      <c r="C70" s="74"/>
      <c r="D70" s="148"/>
      <c r="E70" s="148"/>
      <c r="F70" s="93"/>
      <c r="G70" s="223">
        <f>Inputs!D79</f>
        <v>170</v>
      </c>
      <c r="H70" s="193">
        <f>IF(Inputs!$F$26=0,0,IF(G70="","",G70/Inputs!$F$26))</f>
        <v>0.75555555555555554</v>
      </c>
    </row>
    <row r="71" spans="1:27">
      <c r="B71" s="92" t="s">
        <v>54</v>
      </c>
      <c r="C71" s="74"/>
      <c r="D71" s="148"/>
      <c r="E71" s="148"/>
      <c r="F71" s="93"/>
      <c r="G71" s="223">
        <f>Inputs!D80</f>
        <v>0</v>
      </c>
      <c r="H71" s="193">
        <f>IF(Inputs!$F$26=0,0,IF(G71="","",G71/Inputs!$F$26))</f>
        <v>0</v>
      </c>
    </row>
    <row r="72" spans="1:27">
      <c r="B72" s="92" t="s">
        <v>30</v>
      </c>
      <c r="C72" s="74"/>
      <c r="D72" s="148"/>
      <c r="E72" s="148"/>
      <c r="F72" s="93"/>
      <c r="G72" s="223">
        <f>Inputs!D81</f>
        <v>300</v>
      </c>
      <c r="H72" s="193">
        <f>IF(Inputs!$F$26=0,0,IF(G72="","",G72/Inputs!$F$26))</f>
        <v>1.3333333333333333</v>
      </c>
    </row>
    <row r="73" spans="1:27">
      <c r="B73" s="92" t="s">
        <v>55</v>
      </c>
      <c r="C73" s="74"/>
      <c r="D73" s="148"/>
      <c r="E73" s="148"/>
      <c r="F73" s="93"/>
      <c r="G73" s="223">
        <f>Inputs!D82</f>
        <v>0</v>
      </c>
      <c r="H73" s="193">
        <f>IF(Inputs!$F$26=0,0,IF(G73="","",G73/Inputs!$F$26))</f>
        <v>0</v>
      </c>
    </row>
    <row r="74" spans="1:27" ht="13.5" thickBot="1">
      <c r="B74" s="92" t="s">
        <v>32</v>
      </c>
      <c r="C74" s="74"/>
      <c r="D74" s="148"/>
      <c r="E74" s="148"/>
      <c r="F74" s="93"/>
      <c r="G74" s="227">
        <f>Inputs!D83</f>
        <v>0</v>
      </c>
      <c r="H74" s="191">
        <f>IF(Inputs!$F$26=0,0,IF(G74="","",G74/Inputs!$F$26))</f>
        <v>0</v>
      </c>
    </row>
    <row r="75" spans="1:27" ht="14.25" thickTop="1" thickBot="1">
      <c r="B75" s="120"/>
      <c r="C75" s="77"/>
      <c r="D75" s="97"/>
      <c r="E75" s="97"/>
      <c r="F75" s="107" t="s">
        <v>68</v>
      </c>
      <c r="G75" s="139">
        <f>SUM(G69:G74)</f>
        <v>845</v>
      </c>
      <c r="H75" s="110">
        <f>SUM(H69:H74)</f>
        <v>3.7555555555555555</v>
      </c>
    </row>
    <row r="76" spans="1:27" ht="16.5" thickBot="1">
      <c r="B76" s="121"/>
      <c r="C76" s="122"/>
      <c r="D76" s="122"/>
      <c r="E76" s="122"/>
      <c r="F76" s="62" t="s">
        <v>57</v>
      </c>
      <c r="G76" s="306">
        <f>G66+G75</f>
        <v>2045</v>
      </c>
      <c r="H76" s="307">
        <f>H66+H75</f>
        <v>9.0888888888888886</v>
      </c>
    </row>
    <row r="77" spans="1:27" ht="13.5" thickBot="1">
      <c r="B77" s="117"/>
      <c r="C77" s="93"/>
      <c r="D77" s="93"/>
      <c r="E77" s="93"/>
      <c r="F77" s="93"/>
      <c r="G77" s="93"/>
      <c r="H77" s="103"/>
    </row>
    <row r="78" spans="1:27" ht="16.5" thickBot="1">
      <c r="B78" s="121"/>
      <c r="C78" s="122"/>
      <c r="D78" s="122"/>
      <c r="E78" s="122"/>
      <c r="F78" s="62" t="s">
        <v>157</v>
      </c>
      <c r="G78" s="306">
        <f>G53+G76</f>
        <v>18498.170624999999</v>
      </c>
      <c r="H78" s="307">
        <f>H53+H76</f>
        <v>82.214091666666661</v>
      </c>
    </row>
    <row r="79" spans="1:27" s="116" customFormat="1" ht="13.5" thickBot="1">
      <c r="A79" s="312"/>
      <c r="B79" s="204"/>
      <c r="C79" s="204"/>
      <c r="D79" s="204"/>
      <c r="E79" s="204"/>
      <c r="F79" s="204"/>
      <c r="G79" s="203"/>
      <c r="H79" s="203"/>
      <c r="I79" s="332"/>
      <c r="J79" s="332"/>
      <c r="K79" s="332"/>
      <c r="L79" s="332"/>
      <c r="M79" s="332"/>
      <c r="N79" s="332"/>
      <c r="O79" s="332"/>
      <c r="P79" s="332"/>
      <c r="Q79" s="332"/>
      <c r="R79" s="332"/>
      <c r="S79" s="332"/>
      <c r="T79" s="332"/>
      <c r="U79" s="332"/>
      <c r="V79" s="332"/>
      <c r="W79" s="332"/>
      <c r="X79" s="332"/>
      <c r="Y79" s="332"/>
      <c r="Z79" s="332"/>
      <c r="AA79" s="312"/>
    </row>
    <row r="80" spans="1:27" ht="16.5" thickBot="1">
      <c r="B80" s="121"/>
      <c r="C80" s="122"/>
      <c r="D80" s="122"/>
      <c r="E80" s="122"/>
      <c r="F80" s="62" t="s">
        <v>58</v>
      </c>
      <c r="G80" s="306">
        <f>G12-G78</f>
        <v>1340.8293750000012</v>
      </c>
      <c r="H80" s="307">
        <f>H12-H78</f>
        <v>5.9592416666666708</v>
      </c>
    </row>
    <row r="81" spans="2:26" s="312" customFormat="1">
      <c r="B81" s="312" t="s">
        <v>12</v>
      </c>
      <c r="I81" s="332"/>
      <c r="J81" s="332"/>
      <c r="K81" s="332"/>
      <c r="L81" s="332"/>
      <c r="M81" s="332"/>
      <c r="N81" s="332"/>
      <c r="O81" s="332"/>
      <c r="P81" s="332"/>
      <c r="Q81" s="332"/>
      <c r="R81" s="332"/>
      <c r="S81" s="332"/>
      <c r="T81" s="332"/>
      <c r="U81" s="332"/>
      <c r="V81" s="332"/>
      <c r="W81" s="332"/>
      <c r="X81" s="332"/>
      <c r="Y81" s="332"/>
      <c r="Z81" s="332"/>
    </row>
    <row r="82" spans="2:26" s="312" customFormat="1">
      <c r="B82" s="312" t="s">
        <v>12</v>
      </c>
      <c r="I82" s="332"/>
      <c r="J82" s="332"/>
      <c r="K82" s="332"/>
      <c r="L82" s="332"/>
      <c r="M82" s="332"/>
      <c r="N82" s="332"/>
      <c r="O82" s="332"/>
      <c r="P82" s="332"/>
      <c r="Q82" s="332"/>
      <c r="R82" s="332"/>
      <c r="S82" s="332"/>
      <c r="T82" s="332"/>
      <c r="U82" s="332"/>
      <c r="V82" s="332"/>
      <c r="W82" s="332"/>
      <c r="X82" s="332"/>
      <c r="Y82" s="332"/>
      <c r="Z82" s="332"/>
    </row>
    <row r="83" spans="2:26" s="312" customFormat="1">
      <c r="B83" s="312" t="s">
        <v>12</v>
      </c>
      <c r="I83" s="332"/>
      <c r="J83" s="332"/>
      <c r="K83" s="332"/>
      <c r="L83" s="332"/>
      <c r="M83" s="332"/>
      <c r="N83" s="332"/>
      <c r="O83" s="332"/>
      <c r="P83" s="332"/>
      <c r="Q83" s="332"/>
      <c r="R83" s="332"/>
      <c r="S83" s="332"/>
      <c r="T83" s="332"/>
      <c r="U83" s="332"/>
      <c r="V83" s="332"/>
      <c r="W83" s="332"/>
      <c r="X83" s="332"/>
      <c r="Y83" s="332"/>
      <c r="Z83" s="332"/>
    </row>
    <row r="84" spans="2:26" s="312" customFormat="1">
      <c r="I84" s="332"/>
      <c r="J84" s="332"/>
      <c r="K84" s="332"/>
      <c r="L84" s="332"/>
      <c r="M84" s="332"/>
      <c r="N84" s="332"/>
      <c r="O84" s="332"/>
      <c r="P84" s="332"/>
      <c r="Q84" s="332"/>
      <c r="R84" s="332"/>
      <c r="S84" s="332"/>
      <c r="T84" s="332"/>
      <c r="U84" s="332"/>
      <c r="V84" s="332"/>
      <c r="W84" s="332"/>
      <c r="X84" s="332"/>
      <c r="Y84" s="332"/>
      <c r="Z84" s="332"/>
    </row>
    <row r="85" spans="2:26" s="312" customFormat="1">
      <c r="I85" s="332"/>
      <c r="J85" s="332"/>
      <c r="K85" s="332"/>
      <c r="L85" s="332"/>
      <c r="M85" s="332"/>
      <c r="N85" s="332"/>
      <c r="O85" s="332"/>
      <c r="P85" s="332"/>
      <c r="Q85" s="332"/>
      <c r="R85" s="332"/>
      <c r="S85" s="332"/>
      <c r="T85" s="332"/>
      <c r="U85" s="332"/>
      <c r="V85" s="332"/>
      <c r="W85" s="332"/>
      <c r="X85" s="332"/>
      <c r="Y85" s="332"/>
      <c r="Z85" s="332"/>
    </row>
    <row r="86" spans="2:26" s="312" customFormat="1">
      <c r="I86" s="332"/>
      <c r="J86" s="332"/>
      <c r="K86" s="332"/>
      <c r="L86" s="332"/>
      <c r="M86" s="332"/>
      <c r="N86" s="332"/>
      <c r="O86" s="332"/>
      <c r="P86" s="332"/>
      <c r="Q86" s="332"/>
      <c r="R86" s="332"/>
      <c r="S86" s="332"/>
      <c r="T86" s="332"/>
      <c r="U86" s="332"/>
      <c r="V86" s="332"/>
      <c r="W86" s="332"/>
      <c r="X86" s="332"/>
      <c r="Y86" s="332"/>
      <c r="Z86" s="332"/>
    </row>
    <row r="87" spans="2:26" s="312" customFormat="1">
      <c r="I87" s="332"/>
      <c r="J87" s="332"/>
      <c r="K87" s="332"/>
      <c r="L87" s="332"/>
      <c r="M87" s="332"/>
      <c r="N87" s="332"/>
      <c r="O87" s="332"/>
      <c r="P87" s="332"/>
      <c r="Q87" s="332"/>
      <c r="R87" s="332"/>
      <c r="S87" s="332"/>
      <c r="T87" s="332"/>
      <c r="U87" s="332"/>
      <c r="V87" s="332"/>
      <c r="W87" s="332"/>
      <c r="X87" s="332"/>
      <c r="Y87" s="332"/>
      <c r="Z87" s="332"/>
    </row>
    <row r="88" spans="2:26" s="312" customFormat="1">
      <c r="I88" s="332"/>
      <c r="J88" s="332"/>
      <c r="K88" s="332"/>
      <c r="L88" s="332"/>
      <c r="M88" s="332"/>
      <c r="N88" s="332"/>
      <c r="O88" s="332"/>
      <c r="P88" s="332"/>
      <c r="Q88" s="332"/>
      <c r="R88" s="332"/>
      <c r="S88" s="332"/>
      <c r="T88" s="332"/>
      <c r="U88" s="332"/>
      <c r="V88" s="332"/>
      <c r="W88" s="332"/>
      <c r="X88" s="332"/>
      <c r="Y88" s="332"/>
      <c r="Z88" s="332"/>
    </row>
    <row r="89" spans="2:26" s="312" customFormat="1">
      <c r="I89" s="332"/>
      <c r="J89" s="332"/>
      <c r="K89" s="332"/>
      <c r="L89" s="332"/>
      <c r="M89" s="332"/>
      <c r="N89" s="332"/>
      <c r="O89" s="332"/>
      <c r="P89" s="332"/>
      <c r="Q89" s="332"/>
      <c r="R89" s="332"/>
      <c r="S89" s="332"/>
      <c r="T89" s="332"/>
      <c r="U89" s="332"/>
      <c r="V89" s="332"/>
      <c r="W89" s="332"/>
      <c r="X89" s="332"/>
      <c r="Y89" s="332"/>
      <c r="Z89" s="332"/>
    </row>
    <row r="90" spans="2:26" s="312" customFormat="1">
      <c r="I90" s="332"/>
      <c r="J90" s="332"/>
      <c r="K90" s="332"/>
      <c r="L90" s="332"/>
      <c r="M90" s="332"/>
      <c r="N90" s="332"/>
      <c r="O90" s="332"/>
      <c r="P90" s="332"/>
      <c r="Q90" s="332"/>
      <c r="R90" s="332"/>
      <c r="S90" s="332"/>
      <c r="T90" s="332"/>
      <c r="U90" s="332"/>
      <c r="V90" s="332"/>
      <c r="W90" s="332"/>
      <c r="X90" s="332"/>
      <c r="Y90" s="332"/>
      <c r="Z90" s="332"/>
    </row>
    <row r="91" spans="2:26" s="312" customFormat="1">
      <c r="I91" s="332"/>
      <c r="J91" s="332"/>
      <c r="K91" s="332"/>
      <c r="L91" s="332"/>
      <c r="M91" s="332"/>
      <c r="N91" s="332"/>
      <c r="O91" s="332"/>
      <c r="P91" s="332"/>
      <c r="Q91" s="332"/>
      <c r="R91" s="332"/>
      <c r="S91" s="332"/>
      <c r="T91" s="332"/>
      <c r="U91" s="332"/>
      <c r="V91" s="332"/>
      <c r="W91" s="332"/>
      <c r="X91" s="332"/>
      <c r="Y91" s="332"/>
      <c r="Z91" s="332"/>
    </row>
    <row r="92" spans="2:26" s="312" customFormat="1">
      <c r="I92" s="332"/>
      <c r="J92" s="332"/>
      <c r="K92" s="332"/>
      <c r="L92" s="332"/>
      <c r="M92" s="332"/>
      <c r="N92" s="332"/>
      <c r="O92" s="332"/>
      <c r="P92" s="332"/>
      <c r="Q92" s="332"/>
      <c r="R92" s="332"/>
      <c r="S92" s="332"/>
      <c r="T92" s="332"/>
      <c r="U92" s="332"/>
      <c r="V92" s="332"/>
      <c r="W92" s="332"/>
      <c r="X92" s="332"/>
      <c r="Y92" s="332"/>
      <c r="Z92" s="332"/>
    </row>
    <row r="93" spans="2:26" s="312" customFormat="1">
      <c r="I93" s="332"/>
      <c r="J93" s="332"/>
      <c r="K93" s="332"/>
      <c r="L93" s="332"/>
      <c r="M93" s="332"/>
      <c r="N93" s="332"/>
      <c r="O93" s="332"/>
      <c r="P93" s="332"/>
      <c r="Q93" s="332"/>
      <c r="R93" s="332"/>
      <c r="S93" s="332"/>
      <c r="T93" s="332"/>
      <c r="U93" s="332"/>
      <c r="V93" s="332"/>
      <c r="W93" s="332"/>
      <c r="X93" s="332"/>
      <c r="Y93" s="332"/>
      <c r="Z93" s="332"/>
    </row>
    <row r="94" spans="2:26" s="312" customFormat="1">
      <c r="I94" s="332"/>
      <c r="J94" s="332"/>
      <c r="K94" s="332"/>
      <c r="L94" s="332"/>
      <c r="M94" s="332"/>
      <c r="N94" s="332"/>
      <c r="O94" s="332"/>
      <c r="P94" s="332"/>
      <c r="Q94" s="332"/>
      <c r="R94" s="332"/>
      <c r="S94" s="332"/>
      <c r="T94" s="332"/>
      <c r="U94" s="332"/>
      <c r="V94" s="332"/>
      <c r="W94" s="332"/>
      <c r="X94" s="332"/>
      <c r="Y94" s="332"/>
      <c r="Z94" s="332"/>
    </row>
    <row r="95" spans="2:26" s="312" customFormat="1">
      <c r="I95" s="332"/>
      <c r="J95" s="332"/>
      <c r="K95" s="332"/>
      <c r="L95" s="332"/>
      <c r="M95" s="332"/>
      <c r="N95" s="332"/>
      <c r="O95" s="332"/>
      <c r="P95" s="332"/>
      <c r="Q95" s="332"/>
      <c r="R95" s="332"/>
      <c r="S95" s="332"/>
      <c r="T95" s="332"/>
      <c r="U95" s="332"/>
      <c r="V95" s="332"/>
      <c r="W95" s="332"/>
      <c r="X95" s="332"/>
      <c r="Y95" s="332"/>
      <c r="Z95" s="332"/>
    </row>
    <row r="96" spans="2:26" s="312" customFormat="1">
      <c r="I96" s="332"/>
      <c r="J96" s="332"/>
      <c r="K96" s="332"/>
      <c r="L96" s="332"/>
      <c r="M96" s="332"/>
      <c r="N96" s="332"/>
      <c r="O96" s="332"/>
      <c r="P96" s="332"/>
      <c r="Q96" s="332"/>
      <c r="R96" s="332"/>
      <c r="S96" s="332"/>
      <c r="T96" s="332"/>
      <c r="U96" s="332"/>
      <c r="V96" s="332"/>
      <c r="W96" s="332"/>
      <c r="X96" s="332"/>
      <c r="Y96" s="332"/>
      <c r="Z96" s="332"/>
    </row>
    <row r="97" spans="9:26" s="312" customFormat="1">
      <c r="I97" s="332"/>
      <c r="J97" s="332"/>
      <c r="K97" s="332"/>
      <c r="L97" s="332"/>
      <c r="M97" s="332"/>
      <c r="N97" s="332"/>
      <c r="O97" s="332"/>
      <c r="P97" s="332"/>
      <c r="Q97" s="332"/>
      <c r="R97" s="332"/>
      <c r="S97" s="332"/>
      <c r="T97" s="332"/>
      <c r="U97" s="332"/>
      <c r="V97" s="332"/>
      <c r="W97" s="332"/>
      <c r="X97" s="332"/>
      <c r="Y97" s="332"/>
      <c r="Z97" s="332"/>
    </row>
    <row r="98" spans="9:26" s="312" customFormat="1">
      <c r="I98" s="332"/>
      <c r="J98" s="332"/>
      <c r="K98" s="332"/>
      <c r="L98" s="332"/>
      <c r="M98" s="332"/>
      <c r="N98" s="332"/>
      <c r="O98" s="332"/>
      <c r="P98" s="332"/>
      <c r="Q98" s="332"/>
      <c r="R98" s="332"/>
      <c r="S98" s="332"/>
      <c r="T98" s="332"/>
      <c r="U98" s="332"/>
      <c r="V98" s="332"/>
      <c r="W98" s="332"/>
      <c r="X98" s="332"/>
      <c r="Y98" s="332"/>
      <c r="Z98" s="332"/>
    </row>
    <row r="99" spans="9:26" s="312" customFormat="1">
      <c r="I99" s="332"/>
      <c r="J99" s="332"/>
      <c r="K99" s="332"/>
      <c r="L99" s="332"/>
      <c r="M99" s="332"/>
      <c r="N99" s="332"/>
      <c r="O99" s="332"/>
      <c r="P99" s="332"/>
      <c r="Q99" s="332"/>
      <c r="R99" s="332"/>
      <c r="S99" s="332"/>
      <c r="T99" s="332"/>
      <c r="U99" s="332"/>
      <c r="V99" s="332"/>
      <c r="W99" s="332"/>
      <c r="X99" s="332"/>
      <c r="Y99" s="332"/>
      <c r="Z99" s="332"/>
    </row>
    <row r="100" spans="9:26" s="312" customFormat="1">
      <c r="I100" s="332"/>
      <c r="J100" s="332"/>
      <c r="K100" s="332"/>
      <c r="L100" s="332"/>
      <c r="M100" s="332"/>
      <c r="N100" s="332"/>
      <c r="O100" s="332"/>
      <c r="P100" s="332"/>
      <c r="Q100" s="332"/>
      <c r="R100" s="332"/>
      <c r="S100" s="332"/>
      <c r="T100" s="332"/>
      <c r="U100" s="332"/>
      <c r="V100" s="332"/>
      <c r="W100" s="332"/>
      <c r="X100" s="332"/>
      <c r="Y100" s="332"/>
      <c r="Z100" s="332"/>
    </row>
    <row r="101" spans="9:26" s="312" customFormat="1">
      <c r="I101" s="332"/>
      <c r="J101" s="332"/>
      <c r="K101" s="332"/>
      <c r="L101" s="332"/>
      <c r="M101" s="332"/>
      <c r="N101" s="332"/>
      <c r="O101" s="332"/>
      <c r="P101" s="332"/>
      <c r="Q101" s="332"/>
      <c r="R101" s="332"/>
      <c r="S101" s="332"/>
      <c r="T101" s="332"/>
      <c r="U101" s="332"/>
      <c r="V101" s="332"/>
      <c r="W101" s="332"/>
      <c r="X101" s="332"/>
      <c r="Y101" s="332"/>
      <c r="Z101" s="332"/>
    </row>
    <row r="102" spans="9:26" s="312" customFormat="1">
      <c r="I102" s="332"/>
      <c r="J102" s="332"/>
      <c r="K102" s="332"/>
      <c r="L102" s="332"/>
      <c r="M102" s="332"/>
      <c r="N102" s="332"/>
      <c r="O102" s="332"/>
      <c r="P102" s="332"/>
      <c r="Q102" s="332"/>
      <c r="R102" s="332"/>
      <c r="S102" s="332"/>
      <c r="T102" s="332"/>
      <c r="U102" s="332"/>
      <c r="V102" s="332"/>
      <c r="W102" s="332"/>
      <c r="X102" s="332"/>
      <c r="Y102" s="332"/>
      <c r="Z102" s="332"/>
    </row>
    <row r="103" spans="9:26" s="312" customFormat="1">
      <c r="I103" s="332"/>
      <c r="J103" s="332"/>
      <c r="K103" s="332"/>
      <c r="L103" s="332"/>
      <c r="M103" s="332"/>
      <c r="N103" s="332"/>
      <c r="O103" s="332"/>
      <c r="P103" s="332"/>
      <c r="Q103" s="332"/>
      <c r="R103" s="332"/>
      <c r="S103" s="332"/>
      <c r="T103" s="332"/>
      <c r="U103" s="332"/>
      <c r="V103" s="332"/>
      <c r="W103" s="332"/>
      <c r="X103" s="332"/>
      <c r="Y103" s="332"/>
      <c r="Z103" s="332"/>
    </row>
    <row r="104" spans="9:26" s="312" customFormat="1">
      <c r="I104" s="332"/>
      <c r="J104" s="332"/>
      <c r="K104" s="332"/>
      <c r="L104" s="332"/>
      <c r="M104" s="332"/>
      <c r="N104" s="332"/>
      <c r="O104" s="332"/>
      <c r="P104" s="332"/>
      <c r="Q104" s="332"/>
      <c r="R104" s="332"/>
      <c r="S104" s="332"/>
      <c r="T104" s="332"/>
      <c r="U104" s="332"/>
      <c r="V104" s="332"/>
      <c r="W104" s="332"/>
      <c r="X104" s="332"/>
      <c r="Y104" s="332"/>
      <c r="Z104" s="332"/>
    </row>
    <row r="105" spans="9:26" s="312" customFormat="1">
      <c r="I105" s="332"/>
      <c r="J105" s="332"/>
      <c r="K105" s="332"/>
      <c r="L105" s="332"/>
      <c r="M105" s="332"/>
      <c r="N105" s="332"/>
      <c r="O105" s="332"/>
      <c r="P105" s="332"/>
      <c r="Q105" s="332"/>
      <c r="R105" s="332"/>
      <c r="S105" s="332"/>
      <c r="T105" s="332"/>
      <c r="U105" s="332"/>
      <c r="V105" s="332"/>
      <c r="W105" s="332"/>
      <c r="X105" s="332"/>
      <c r="Y105" s="332"/>
      <c r="Z105" s="332"/>
    </row>
    <row r="106" spans="9:26" s="312" customFormat="1">
      <c r="I106" s="332"/>
      <c r="J106" s="332"/>
      <c r="K106" s="332"/>
      <c r="L106" s="332"/>
      <c r="M106" s="332"/>
      <c r="N106" s="332"/>
      <c r="O106" s="332"/>
      <c r="P106" s="332"/>
      <c r="Q106" s="332"/>
      <c r="R106" s="332"/>
      <c r="S106" s="332"/>
      <c r="T106" s="332"/>
      <c r="U106" s="332"/>
      <c r="V106" s="332"/>
      <c r="W106" s="332"/>
      <c r="X106" s="332"/>
      <c r="Y106" s="332"/>
      <c r="Z106" s="332"/>
    </row>
    <row r="107" spans="9:26" s="312" customFormat="1">
      <c r="I107" s="332"/>
      <c r="J107" s="332"/>
      <c r="K107" s="332"/>
      <c r="L107" s="332"/>
      <c r="M107" s="332"/>
      <c r="N107" s="332"/>
      <c r="O107" s="332"/>
      <c r="P107" s="332"/>
      <c r="Q107" s="332"/>
      <c r="R107" s="332"/>
      <c r="S107" s="332"/>
      <c r="T107" s="332"/>
      <c r="U107" s="332"/>
      <c r="V107" s="332"/>
      <c r="W107" s="332"/>
      <c r="X107" s="332"/>
      <c r="Y107" s="332"/>
      <c r="Z107" s="332"/>
    </row>
    <row r="108" spans="9:26" s="312" customFormat="1">
      <c r="I108" s="332"/>
      <c r="J108" s="332"/>
      <c r="K108" s="332"/>
      <c r="L108" s="332"/>
      <c r="M108" s="332"/>
      <c r="N108" s="332"/>
      <c r="O108" s="332"/>
      <c r="P108" s="332"/>
      <c r="Q108" s="332"/>
      <c r="R108" s="332"/>
      <c r="S108" s="332"/>
      <c r="T108" s="332"/>
      <c r="U108" s="332"/>
      <c r="V108" s="332"/>
      <c r="W108" s="332"/>
      <c r="X108" s="332"/>
      <c r="Y108" s="332"/>
      <c r="Z108" s="332"/>
    </row>
    <row r="109" spans="9:26" s="312" customFormat="1">
      <c r="I109" s="332"/>
      <c r="J109" s="332"/>
      <c r="K109" s="332"/>
      <c r="L109" s="332"/>
      <c r="M109" s="332"/>
      <c r="N109" s="332"/>
      <c r="O109" s="332"/>
      <c r="P109" s="332"/>
      <c r="Q109" s="332"/>
      <c r="R109" s="332"/>
      <c r="S109" s="332"/>
      <c r="T109" s="332"/>
      <c r="U109" s="332"/>
      <c r="V109" s="332"/>
      <c r="W109" s="332"/>
      <c r="X109" s="332"/>
      <c r="Y109" s="332"/>
      <c r="Z109" s="332"/>
    </row>
    <row r="110" spans="9:26" s="312" customFormat="1">
      <c r="I110" s="332"/>
      <c r="J110" s="332"/>
      <c r="K110" s="332"/>
      <c r="L110" s="332"/>
      <c r="M110" s="332"/>
      <c r="N110" s="332"/>
      <c r="O110" s="332"/>
      <c r="P110" s="332"/>
      <c r="Q110" s="332"/>
      <c r="R110" s="332"/>
      <c r="S110" s="332"/>
      <c r="T110" s="332"/>
      <c r="U110" s="332"/>
      <c r="V110" s="332"/>
      <c r="W110" s="332"/>
      <c r="X110" s="332"/>
      <c r="Y110" s="332"/>
      <c r="Z110" s="332"/>
    </row>
    <row r="111" spans="9:26" s="312" customFormat="1">
      <c r="I111" s="332"/>
      <c r="J111" s="332"/>
      <c r="K111" s="332"/>
      <c r="L111" s="332"/>
      <c r="M111" s="332"/>
      <c r="N111" s="332"/>
      <c r="O111" s="332"/>
      <c r="P111" s="332"/>
      <c r="Q111" s="332"/>
      <c r="R111" s="332"/>
      <c r="S111" s="332"/>
      <c r="T111" s="332"/>
      <c r="U111" s="332"/>
      <c r="V111" s="332"/>
      <c r="W111" s="332"/>
      <c r="X111" s="332"/>
      <c r="Y111" s="332"/>
      <c r="Z111" s="332"/>
    </row>
    <row r="112" spans="9:26" s="312" customFormat="1">
      <c r="I112" s="332"/>
      <c r="J112" s="332"/>
      <c r="K112" s="332"/>
      <c r="L112" s="332"/>
      <c r="M112" s="332"/>
      <c r="N112" s="332"/>
      <c r="O112" s="332"/>
      <c r="P112" s="332"/>
      <c r="Q112" s="332"/>
      <c r="R112" s="332"/>
      <c r="S112" s="332"/>
      <c r="T112" s="332"/>
      <c r="U112" s="332"/>
      <c r="V112" s="332"/>
      <c r="W112" s="332"/>
      <c r="X112" s="332"/>
      <c r="Y112" s="332"/>
      <c r="Z112" s="332"/>
    </row>
    <row r="113" spans="9:26" s="312" customFormat="1">
      <c r="I113" s="332"/>
      <c r="J113" s="332"/>
      <c r="K113" s="332"/>
      <c r="L113" s="332"/>
      <c r="M113" s="332"/>
      <c r="N113" s="332"/>
      <c r="O113" s="332"/>
      <c r="P113" s="332"/>
      <c r="Q113" s="332"/>
      <c r="R113" s="332"/>
      <c r="S113" s="332"/>
      <c r="T113" s="332"/>
      <c r="U113" s="332"/>
      <c r="V113" s="332"/>
      <c r="W113" s="332"/>
      <c r="X113" s="332"/>
      <c r="Y113" s="332"/>
      <c r="Z113" s="332"/>
    </row>
    <row r="114" spans="9:26" s="312" customFormat="1">
      <c r="I114" s="332"/>
      <c r="J114" s="332"/>
      <c r="K114" s="332"/>
      <c r="L114" s="332"/>
      <c r="M114" s="332"/>
      <c r="N114" s="332"/>
      <c r="O114" s="332"/>
      <c r="P114" s="332"/>
      <c r="Q114" s="332"/>
      <c r="R114" s="332"/>
      <c r="S114" s="332"/>
      <c r="T114" s="332"/>
      <c r="U114" s="332"/>
      <c r="V114" s="332"/>
      <c r="W114" s="332"/>
      <c r="X114" s="332"/>
      <c r="Y114" s="332"/>
      <c r="Z114" s="332"/>
    </row>
    <row r="115" spans="9:26" s="312" customFormat="1">
      <c r="I115" s="332"/>
      <c r="J115" s="332"/>
      <c r="K115" s="332"/>
      <c r="L115" s="332"/>
      <c r="M115" s="332"/>
      <c r="N115" s="332"/>
      <c r="O115" s="332"/>
      <c r="P115" s="332"/>
      <c r="Q115" s="332"/>
      <c r="R115" s="332"/>
      <c r="S115" s="332"/>
      <c r="T115" s="332"/>
      <c r="U115" s="332"/>
      <c r="V115" s="332"/>
      <c r="W115" s="332"/>
      <c r="X115" s="332"/>
      <c r="Y115" s="332"/>
      <c r="Z115" s="332"/>
    </row>
    <row r="116" spans="9:26" s="312" customFormat="1">
      <c r="I116" s="332"/>
      <c r="J116" s="332"/>
      <c r="K116" s="332"/>
      <c r="L116" s="332"/>
      <c r="M116" s="332"/>
      <c r="N116" s="332"/>
      <c r="O116" s="332"/>
      <c r="P116" s="332"/>
      <c r="Q116" s="332"/>
      <c r="R116" s="332"/>
      <c r="S116" s="332"/>
      <c r="T116" s="332"/>
      <c r="U116" s="332"/>
      <c r="V116" s="332"/>
      <c r="W116" s="332"/>
      <c r="X116" s="332"/>
      <c r="Y116" s="332"/>
      <c r="Z116" s="332"/>
    </row>
    <row r="117" spans="9:26" s="312" customFormat="1">
      <c r="I117" s="332"/>
      <c r="J117" s="332"/>
      <c r="K117" s="332"/>
      <c r="L117" s="332"/>
      <c r="M117" s="332"/>
      <c r="N117" s="332"/>
      <c r="O117" s="332"/>
      <c r="P117" s="332"/>
      <c r="Q117" s="332"/>
      <c r="R117" s="332"/>
      <c r="S117" s="332"/>
      <c r="T117" s="332"/>
      <c r="U117" s="332"/>
      <c r="V117" s="332"/>
      <c r="W117" s="332"/>
      <c r="X117" s="332"/>
      <c r="Y117" s="332"/>
      <c r="Z117" s="332"/>
    </row>
    <row r="118" spans="9:26" s="312" customFormat="1">
      <c r="I118" s="332"/>
      <c r="J118" s="332"/>
      <c r="K118" s="332"/>
      <c r="L118" s="332"/>
      <c r="M118" s="332"/>
      <c r="N118" s="332"/>
      <c r="O118" s="332"/>
      <c r="P118" s="332"/>
      <c r="Q118" s="332"/>
      <c r="R118" s="332"/>
      <c r="S118" s="332"/>
      <c r="T118" s="332"/>
      <c r="U118" s="332"/>
      <c r="V118" s="332"/>
      <c r="W118" s="332"/>
      <c r="X118" s="332"/>
      <c r="Y118" s="332"/>
      <c r="Z118" s="332"/>
    </row>
    <row r="119" spans="9:26" s="312" customFormat="1">
      <c r="I119" s="332"/>
      <c r="J119" s="332"/>
      <c r="K119" s="332"/>
      <c r="L119" s="332"/>
      <c r="M119" s="332"/>
      <c r="N119" s="332"/>
      <c r="O119" s="332"/>
      <c r="P119" s="332"/>
      <c r="Q119" s="332"/>
      <c r="R119" s="332"/>
      <c r="S119" s="332"/>
      <c r="T119" s="332"/>
      <c r="U119" s="332"/>
      <c r="V119" s="332"/>
      <c r="W119" s="332"/>
      <c r="X119" s="332"/>
      <c r="Y119" s="332"/>
      <c r="Z119" s="332"/>
    </row>
    <row r="120" spans="9:26" s="312" customFormat="1">
      <c r="I120" s="332"/>
      <c r="J120" s="332"/>
      <c r="K120" s="332"/>
      <c r="L120" s="332"/>
      <c r="M120" s="332"/>
      <c r="N120" s="332"/>
      <c r="O120" s="332"/>
      <c r="P120" s="332"/>
      <c r="Q120" s="332"/>
      <c r="R120" s="332"/>
      <c r="S120" s="332"/>
      <c r="T120" s="332"/>
      <c r="U120" s="332"/>
      <c r="V120" s="332"/>
      <c r="W120" s="332"/>
      <c r="X120" s="332"/>
      <c r="Y120" s="332"/>
      <c r="Z120" s="332"/>
    </row>
    <row r="121" spans="9:26" s="312" customFormat="1">
      <c r="I121" s="332"/>
      <c r="J121" s="332"/>
      <c r="K121" s="332"/>
      <c r="L121" s="332"/>
      <c r="M121" s="332"/>
      <c r="N121" s="332"/>
      <c r="O121" s="332"/>
      <c r="P121" s="332"/>
      <c r="Q121" s="332"/>
      <c r="R121" s="332"/>
      <c r="S121" s="332"/>
      <c r="T121" s="332"/>
      <c r="U121" s="332"/>
      <c r="V121" s="332"/>
      <c r="W121" s="332"/>
      <c r="X121" s="332"/>
      <c r="Y121" s="332"/>
      <c r="Z121" s="332"/>
    </row>
    <row r="122" spans="9:26" s="312" customFormat="1">
      <c r="I122" s="332"/>
      <c r="J122" s="332"/>
      <c r="K122" s="332"/>
      <c r="L122" s="332"/>
      <c r="M122" s="332"/>
      <c r="N122" s="332"/>
      <c r="O122" s="332"/>
      <c r="P122" s="332"/>
      <c r="Q122" s="332"/>
      <c r="R122" s="332"/>
      <c r="S122" s="332"/>
      <c r="T122" s="332"/>
      <c r="U122" s="332"/>
      <c r="V122" s="332"/>
      <c r="W122" s="332"/>
      <c r="X122" s="332"/>
      <c r="Y122" s="332"/>
      <c r="Z122" s="332"/>
    </row>
    <row r="123" spans="9:26" s="312" customFormat="1">
      <c r="I123" s="332"/>
      <c r="J123" s="332"/>
      <c r="K123" s="332"/>
      <c r="L123" s="332"/>
      <c r="M123" s="332"/>
      <c r="N123" s="332"/>
      <c r="O123" s="332"/>
      <c r="P123" s="332"/>
      <c r="Q123" s="332"/>
      <c r="R123" s="332"/>
      <c r="S123" s="332"/>
      <c r="T123" s="332"/>
      <c r="U123" s="332"/>
      <c r="V123" s="332"/>
      <c r="W123" s="332"/>
      <c r="X123" s="332"/>
      <c r="Y123" s="332"/>
      <c r="Z123" s="332"/>
    </row>
    <row r="124" spans="9:26" s="312" customFormat="1">
      <c r="I124" s="332"/>
      <c r="J124" s="332"/>
      <c r="K124" s="332"/>
      <c r="L124" s="332"/>
      <c r="M124" s="332"/>
      <c r="N124" s="332"/>
      <c r="O124" s="332"/>
      <c r="P124" s="332"/>
      <c r="Q124" s="332"/>
      <c r="R124" s="332"/>
      <c r="S124" s="332"/>
      <c r="T124" s="332"/>
      <c r="U124" s="332"/>
      <c r="V124" s="332"/>
      <c r="W124" s="332"/>
      <c r="X124" s="332"/>
      <c r="Y124" s="332"/>
      <c r="Z124" s="332"/>
    </row>
    <row r="125" spans="9:26" s="312" customFormat="1">
      <c r="I125" s="332"/>
      <c r="J125" s="332"/>
      <c r="K125" s="332"/>
      <c r="L125" s="332"/>
      <c r="M125" s="332"/>
      <c r="N125" s="332"/>
      <c r="O125" s="332"/>
      <c r="P125" s="332"/>
      <c r="Q125" s="332"/>
      <c r="R125" s="332"/>
      <c r="S125" s="332"/>
      <c r="T125" s="332"/>
      <c r="U125" s="332"/>
      <c r="V125" s="332"/>
      <c r="W125" s="332"/>
      <c r="X125" s="332"/>
      <c r="Y125" s="332"/>
      <c r="Z125" s="332"/>
    </row>
    <row r="126" spans="9:26" s="312" customFormat="1">
      <c r="I126" s="332"/>
      <c r="J126" s="332"/>
      <c r="K126" s="332"/>
      <c r="L126" s="332"/>
      <c r="M126" s="332"/>
      <c r="N126" s="332"/>
      <c r="O126" s="332"/>
      <c r="P126" s="332"/>
      <c r="Q126" s="332"/>
      <c r="R126" s="332"/>
      <c r="S126" s="332"/>
      <c r="T126" s="332"/>
      <c r="U126" s="332"/>
      <c r="V126" s="332"/>
      <c r="W126" s="332"/>
      <c r="X126" s="332"/>
      <c r="Y126" s="332"/>
      <c r="Z126" s="332"/>
    </row>
    <row r="127" spans="9:26" s="312" customFormat="1">
      <c r="I127" s="332"/>
      <c r="J127" s="332"/>
      <c r="K127" s="332"/>
      <c r="L127" s="332"/>
      <c r="M127" s="332"/>
      <c r="N127" s="332"/>
      <c r="O127" s="332"/>
      <c r="P127" s="332"/>
      <c r="Q127" s="332"/>
      <c r="R127" s="332"/>
      <c r="S127" s="332"/>
      <c r="T127" s="332"/>
      <c r="U127" s="332"/>
      <c r="V127" s="332"/>
      <c r="W127" s="332"/>
      <c r="X127" s="332"/>
      <c r="Y127" s="332"/>
      <c r="Z127" s="332"/>
    </row>
    <row r="128" spans="9:26" s="312" customFormat="1">
      <c r="I128" s="332"/>
      <c r="J128" s="332"/>
      <c r="K128" s="332"/>
      <c r="L128" s="332"/>
      <c r="M128" s="332"/>
      <c r="N128" s="332"/>
      <c r="O128" s="332"/>
      <c r="P128" s="332"/>
      <c r="Q128" s="332"/>
      <c r="R128" s="332"/>
      <c r="S128" s="332"/>
      <c r="T128" s="332"/>
      <c r="U128" s="332"/>
      <c r="V128" s="332"/>
      <c r="W128" s="332"/>
      <c r="X128" s="332"/>
      <c r="Y128" s="332"/>
      <c r="Z128" s="332"/>
    </row>
    <row r="129" spans="9:26" s="312" customFormat="1">
      <c r="I129" s="332"/>
      <c r="J129" s="332"/>
      <c r="K129" s="332"/>
      <c r="L129" s="332"/>
      <c r="M129" s="332"/>
      <c r="N129" s="332"/>
      <c r="O129" s="332"/>
      <c r="P129" s="332"/>
      <c r="Q129" s="332"/>
      <c r="R129" s="332"/>
      <c r="S129" s="332"/>
      <c r="T129" s="332"/>
      <c r="U129" s="332"/>
      <c r="V129" s="332"/>
      <c r="W129" s="332"/>
      <c r="X129" s="332"/>
      <c r="Y129" s="332"/>
      <c r="Z129" s="332"/>
    </row>
    <row r="130" spans="9:26" s="312" customFormat="1">
      <c r="I130" s="332"/>
      <c r="J130" s="332"/>
      <c r="K130" s="332"/>
      <c r="L130" s="332"/>
      <c r="M130" s="332"/>
      <c r="N130" s="332"/>
      <c r="O130" s="332"/>
      <c r="P130" s="332"/>
      <c r="Q130" s="332"/>
      <c r="R130" s="332"/>
      <c r="S130" s="332"/>
      <c r="T130" s="332"/>
      <c r="U130" s="332"/>
      <c r="V130" s="332"/>
      <c r="W130" s="332"/>
      <c r="X130" s="332"/>
      <c r="Y130" s="332"/>
      <c r="Z130" s="332"/>
    </row>
    <row r="131" spans="9:26" s="312" customFormat="1">
      <c r="I131" s="332"/>
      <c r="J131" s="332"/>
      <c r="K131" s="332"/>
      <c r="L131" s="332"/>
      <c r="M131" s="332"/>
      <c r="N131" s="332"/>
      <c r="O131" s="332"/>
      <c r="P131" s="332"/>
      <c r="Q131" s="332"/>
      <c r="R131" s="332"/>
      <c r="S131" s="332"/>
      <c r="T131" s="332"/>
      <c r="U131" s="332"/>
      <c r="V131" s="332"/>
      <c r="W131" s="332"/>
      <c r="X131" s="332"/>
      <c r="Y131" s="332"/>
      <c r="Z131" s="332"/>
    </row>
    <row r="132" spans="9:26" s="312" customFormat="1">
      <c r="I132" s="332"/>
      <c r="J132" s="332"/>
      <c r="K132" s="332"/>
      <c r="L132" s="332"/>
      <c r="M132" s="332"/>
      <c r="N132" s="332"/>
      <c r="O132" s="332"/>
      <c r="P132" s="332"/>
      <c r="Q132" s="332"/>
      <c r="R132" s="332"/>
      <c r="S132" s="332"/>
      <c r="T132" s="332"/>
      <c r="U132" s="332"/>
      <c r="V132" s="332"/>
      <c r="W132" s="332"/>
      <c r="X132" s="332"/>
      <c r="Y132" s="332"/>
      <c r="Z132" s="332"/>
    </row>
    <row r="133" spans="9:26" s="312" customFormat="1">
      <c r="I133" s="332"/>
      <c r="J133" s="332"/>
      <c r="K133" s="332"/>
      <c r="L133" s="332"/>
      <c r="M133" s="332"/>
      <c r="N133" s="332"/>
      <c r="O133" s="332"/>
      <c r="P133" s="332"/>
      <c r="Q133" s="332"/>
      <c r="R133" s="332"/>
      <c r="S133" s="332"/>
      <c r="T133" s="332"/>
      <c r="U133" s="332"/>
      <c r="V133" s="332"/>
      <c r="W133" s="332"/>
      <c r="X133" s="332"/>
      <c r="Y133" s="332"/>
      <c r="Z133" s="332"/>
    </row>
    <row r="134" spans="9:26" s="312" customFormat="1">
      <c r="I134" s="332"/>
      <c r="J134" s="332"/>
      <c r="K134" s="332"/>
      <c r="L134" s="332"/>
      <c r="M134" s="332"/>
      <c r="N134" s="332"/>
      <c r="O134" s="332"/>
      <c r="P134" s="332"/>
      <c r="Q134" s="332"/>
      <c r="R134" s="332"/>
      <c r="S134" s="332"/>
      <c r="T134" s="332"/>
      <c r="U134" s="332"/>
      <c r="V134" s="332"/>
      <c r="W134" s="332"/>
      <c r="X134" s="332"/>
      <c r="Y134" s="332"/>
      <c r="Z134" s="332"/>
    </row>
    <row r="135" spans="9:26" s="312" customFormat="1">
      <c r="I135" s="332"/>
      <c r="J135" s="332"/>
      <c r="K135" s="332"/>
      <c r="L135" s="332"/>
      <c r="M135" s="332"/>
      <c r="N135" s="332"/>
      <c r="O135" s="332"/>
      <c r="P135" s="332"/>
      <c r="Q135" s="332"/>
      <c r="R135" s="332"/>
      <c r="S135" s="332"/>
      <c r="T135" s="332"/>
      <c r="U135" s="332"/>
      <c r="V135" s="332"/>
      <c r="W135" s="332"/>
      <c r="X135" s="332"/>
      <c r="Y135" s="332"/>
      <c r="Z135" s="332"/>
    </row>
    <row r="136" spans="9:26" s="312" customFormat="1">
      <c r="I136" s="332"/>
      <c r="J136" s="332"/>
      <c r="K136" s="332"/>
      <c r="L136" s="332"/>
      <c r="M136" s="332"/>
      <c r="N136" s="332"/>
      <c r="O136" s="332"/>
      <c r="P136" s="332"/>
      <c r="Q136" s="332"/>
      <c r="R136" s="332"/>
      <c r="S136" s="332"/>
      <c r="T136" s="332"/>
      <c r="U136" s="332"/>
      <c r="V136" s="332"/>
      <c r="W136" s="332"/>
      <c r="X136" s="332"/>
      <c r="Y136" s="332"/>
      <c r="Z136" s="332"/>
    </row>
    <row r="137" spans="9:26" s="312" customFormat="1">
      <c r="I137" s="332"/>
      <c r="J137" s="332"/>
      <c r="K137" s="332"/>
      <c r="L137" s="332"/>
      <c r="M137" s="332"/>
      <c r="N137" s="332"/>
      <c r="O137" s="332"/>
      <c r="P137" s="332"/>
      <c r="Q137" s="332"/>
      <c r="R137" s="332"/>
      <c r="S137" s="332"/>
      <c r="T137" s="332"/>
      <c r="U137" s="332"/>
      <c r="V137" s="332"/>
      <c r="W137" s="332"/>
      <c r="X137" s="332"/>
      <c r="Y137" s="332"/>
      <c r="Z137" s="332"/>
    </row>
    <row r="138" spans="9:26" s="312" customFormat="1">
      <c r="I138" s="332"/>
      <c r="J138" s="332"/>
      <c r="K138" s="332"/>
      <c r="L138" s="332"/>
      <c r="M138" s="332"/>
      <c r="N138" s="332"/>
      <c r="O138" s="332"/>
      <c r="P138" s="332"/>
      <c r="Q138" s="332"/>
      <c r="R138" s="332"/>
      <c r="S138" s="332"/>
      <c r="T138" s="332"/>
      <c r="U138" s="332"/>
      <c r="V138" s="332"/>
      <c r="W138" s="332"/>
      <c r="X138" s="332"/>
      <c r="Y138" s="332"/>
      <c r="Z138" s="332"/>
    </row>
    <row r="139" spans="9:26" s="312" customFormat="1">
      <c r="I139" s="332"/>
      <c r="J139" s="332"/>
      <c r="K139" s="332"/>
      <c r="L139" s="332"/>
      <c r="M139" s="332"/>
      <c r="N139" s="332"/>
      <c r="O139" s="332"/>
      <c r="P139" s="332"/>
      <c r="Q139" s="332"/>
      <c r="R139" s="332"/>
      <c r="S139" s="332"/>
      <c r="T139" s="332"/>
      <c r="U139" s="332"/>
      <c r="V139" s="332"/>
      <c r="W139" s="332"/>
      <c r="X139" s="332"/>
      <c r="Y139" s="332"/>
      <c r="Z139" s="332"/>
    </row>
    <row r="140" spans="9:26" s="312" customFormat="1">
      <c r="I140" s="332"/>
      <c r="J140" s="332"/>
      <c r="K140" s="332"/>
      <c r="L140" s="332"/>
      <c r="M140" s="332"/>
      <c r="N140" s="332"/>
      <c r="O140" s="332"/>
      <c r="P140" s="332"/>
      <c r="Q140" s="332"/>
      <c r="R140" s="332"/>
      <c r="S140" s="332"/>
      <c r="T140" s="332"/>
      <c r="U140" s="332"/>
      <c r="V140" s="332"/>
      <c r="W140" s="332"/>
      <c r="X140" s="332"/>
      <c r="Y140" s="332"/>
      <c r="Z140" s="332"/>
    </row>
    <row r="141" spans="9:26" s="312" customFormat="1">
      <c r="I141" s="332"/>
      <c r="J141" s="332"/>
      <c r="K141" s="332"/>
      <c r="L141" s="332"/>
      <c r="M141" s="332"/>
      <c r="N141" s="332"/>
      <c r="O141" s="332"/>
      <c r="P141" s="332"/>
      <c r="Q141" s="332"/>
      <c r="R141" s="332"/>
      <c r="S141" s="332"/>
      <c r="T141" s="332"/>
      <c r="U141" s="332"/>
      <c r="V141" s="332"/>
      <c r="W141" s="332"/>
      <c r="X141" s="332"/>
      <c r="Y141" s="332"/>
      <c r="Z141" s="332"/>
    </row>
    <row r="142" spans="9:26" s="312" customFormat="1">
      <c r="I142" s="332"/>
      <c r="J142" s="332"/>
      <c r="K142" s="332"/>
      <c r="L142" s="332"/>
      <c r="M142" s="332"/>
      <c r="N142" s="332"/>
      <c r="O142" s="332"/>
      <c r="P142" s="332"/>
      <c r="Q142" s="332"/>
      <c r="R142" s="332"/>
      <c r="S142" s="332"/>
      <c r="T142" s="332"/>
      <c r="U142" s="332"/>
      <c r="V142" s="332"/>
      <c r="W142" s="332"/>
      <c r="X142" s="332"/>
      <c r="Y142" s="332"/>
      <c r="Z142" s="332"/>
    </row>
    <row r="143" spans="9:26" s="312" customFormat="1">
      <c r="I143" s="332"/>
      <c r="J143" s="332"/>
      <c r="K143" s="332"/>
      <c r="L143" s="332"/>
      <c r="M143" s="332"/>
      <c r="N143" s="332"/>
      <c r="O143" s="332"/>
      <c r="P143" s="332"/>
      <c r="Q143" s="332"/>
      <c r="R143" s="332"/>
      <c r="S143" s="332"/>
      <c r="T143" s="332"/>
      <c r="U143" s="332"/>
      <c r="V143" s="332"/>
      <c r="W143" s="332"/>
      <c r="X143" s="332"/>
      <c r="Y143" s="332"/>
      <c r="Z143" s="332"/>
    </row>
    <row r="144" spans="9:26" s="312" customFormat="1">
      <c r="I144" s="332"/>
      <c r="J144" s="332"/>
      <c r="K144" s="332"/>
      <c r="L144" s="332"/>
      <c r="M144" s="332"/>
      <c r="N144" s="332"/>
      <c r="O144" s="332"/>
      <c r="P144" s="332"/>
      <c r="Q144" s="332"/>
      <c r="R144" s="332"/>
      <c r="S144" s="332"/>
      <c r="T144" s="332"/>
      <c r="U144" s="332"/>
      <c r="V144" s="332"/>
      <c r="W144" s="332"/>
      <c r="X144" s="332"/>
      <c r="Y144" s="332"/>
      <c r="Z144" s="332"/>
    </row>
    <row r="145" spans="9:26" s="312" customFormat="1">
      <c r="I145" s="332"/>
      <c r="J145" s="332"/>
      <c r="K145" s="332"/>
      <c r="L145" s="332"/>
      <c r="M145" s="332"/>
      <c r="N145" s="332"/>
      <c r="O145" s="332"/>
      <c r="P145" s="332"/>
      <c r="Q145" s="332"/>
      <c r="R145" s="332"/>
      <c r="S145" s="332"/>
      <c r="T145" s="332"/>
      <c r="U145" s="332"/>
      <c r="V145" s="332"/>
      <c r="W145" s="332"/>
      <c r="X145" s="332"/>
      <c r="Y145" s="332"/>
      <c r="Z145" s="332"/>
    </row>
    <row r="146" spans="9:26" s="312" customFormat="1">
      <c r="I146" s="332"/>
      <c r="J146" s="332"/>
      <c r="K146" s="332"/>
      <c r="L146" s="332"/>
      <c r="M146" s="332"/>
      <c r="N146" s="332"/>
      <c r="O146" s="332"/>
      <c r="P146" s="332"/>
      <c r="Q146" s="332"/>
      <c r="R146" s="332"/>
      <c r="S146" s="332"/>
      <c r="T146" s="332"/>
      <c r="U146" s="332"/>
      <c r="V146" s="332"/>
      <c r="W146" s="332"/>
      <c r="X146" s="332"/>
      <c r="Y146" s="332"/>
      <c r="Z146" s="332"/>
    </row>
    <row r="147" spans="9:26" s="312" customFormat="1">
      <c r="I147" s="332"/>
      <c r="J147" s="332"/>
      <c r="K147" s="332"/>
      <c r="L147" s="332"/>
      <c r="M147" s="332"/>
      <c r="N147" s="332"/>
      <c r="O147" s="332"/>
      <c r="P147" s="332"/>
      <c r="Q147" s="332"/>
      <c r="R147" s="332"/>
      <c r="S147" s="332"/>
      <c r="T147" s="332"/>
      <c r="U147" s="332"/>
      <c r="V147" s="332"/>
      <c r="W147" s="332"/>
      <c r="X147" s="332"/>
      <c r="Y147" s="332"/>
      <c r="Z147" s="332"/>
    </row>
    <row r="148" spans="9:26" s="312" customFormat="1">
      <c r="I148" s="332"/>
      <c r="J148" s="332"/>
      <c r="K148" s="332"/>
      <c r="L148" s="332"/>
      <c r="M148" s="332"/>
      <c r="N148" s="332"/>
      <c r="O148" s="332"/>
      <c r="P148" s="332"/>
      <c r="Q148" s="332"/>
      <c r="R148" s="332"/>
      <c r="S148" s="332"/>
      <c r="T148" s="332"/>
      <c r="U148" s="332"/>
      <c r="V148" s="332"/>
      <c r="W148" s="332"/>
      <c r="X148" s="332"/>
      <c r="Y148" s="332"/>
      <c r="Z148" s="332"/>
    </row>
    <row r="149" spans="9:26" s="312" customFormat="1">
      <c r="I149" s="332"/>
      <c r="J149" s="332"/>
      <c r="K149" s="332"/>
      <c r="L149" s="332"/>
      <c r="M149" s="332"/>
      <c r="N149" s="332"/>
      <c r="O149" s="332"/>
      <c r="P149" s="332"/>
      <c r="Q149" s="332"/>
      <c r="R149" s="332"/>
      <c r="S149" s="332"/>
      <c r="T149" s="332"/>
      <c r="U149" s="332"/>
      <c r="V149" s="332"/>
      <c r="W149" s="332"/>
      <c r="X149" s="332"/>
      <c r="Y149" s="332"/>
      <c r="Z149" s="332"/>
    </row>
    <row r="150" spans="9:26" s="312" customFormat="1">
      <c r="I150" s="332"/>
      <c r="J150" s="332"/>
      <c r="K150" s="332"/>
      <c r="L150" s="332"/>
      <c r="M150" s="332"/>
      <c r="N150" s="332"/>
      <c r="O150" s="332"/>
      <c r="P150" s="332"/>
      <c r="Q150" s="332"/>
      <c r="R150" s="332"/>
      <c r="S150" s="332"/>
      <c r="T150" s="332"/>
      <c r="U150" s="332"/>
      <c r="V150" s="332"/>
      <c r="W150" s="332"/>
      <c r="X150" s="332"/>
      <c r="Y150" s="332"/>
      <c r="Z150" s="332"/>
    </row>
    <row r="151" spans="9:26" s="312" customFormat="1">
      <c r="I151" s="332"/>
      <c r="J151" s="332"/>
      <c r="K151" s="332"/>
      <c r="L151" s="332"/>
      <c r="M151" s="332"/>
      <c r="N151" s="332"/>
      <c r="O151" s="332"/>
      <c r="P151" s="332"/>
      <c r="Q151" s="332"/>
      <c r="R151" s="332"/>
      <c r="S151" s="332"/>
      <c r="T151" s="332"/>
      <c r="U151" s="332"/>
      <c r="V151" s="332"/>
      <c r="W151" s="332"/>
      <c r="X151" s="332"/>
      <c r="Y151" s="332"/>
      <c r="Z151" s="332"/>
    </row>
    <row r="152" spans="9:26" s="312" customFormat="1">
      <c r="I152" s="332"/>
      <c r="J152" s="332"/>
      <c r="K152" s="332"/>
      <c r="L152" s="332"/>
      <c r="M152" s="332"/>
      <c r="N152" s="332"/>
      <c r="O152" s="332"/>
      <c r="P152" s="332"/>
      <c r="Q152" s="332"/>
      <c r="R152" s="332"/>
      <c r="S152" s="332"/>
      <c r="T152" s="332"/>
      <c r="U152" s="332"/>
      <c r="V152" s="332"/>
      <c r="W152" s="332"/>
      <c r="X152" s="332"/>
      <c r="Y152" s="332"/>
      <c r="Z152" s="332"/>
    </row>
    <row r="153" spans="9:26" s="312" customFormat="1">
      <c r="I153" s="332"/>
      <c r="J153" s="332"/>
      <c r="K153" s="332"/>
      <c r="L153" s="332"/>
      <c r="M153" s="332"/>
      <c r="N153" s="332"/>
      <c r="O153" s="332"/>
      <c r="P153" s="332"/>
      <c r="Q153" s="332"/>
      <c r="R153" s="332"/>
      <c r="S153" s="332"/>
      <c r="T153" s="332"/>
      <c r="U153" s="332"/>
      <c r="V153" s="332"/>
      <c r="W153" s="332"/>
      <c r="X153" s="332"/>
      <c r="Y153" s="332"/>
      <c r="Z153" s="332"/>
    </row>
    <row r="154" spans="9:26" s="312" customFormat="1">
      <c r="I154" s="332"/>
      <c r="J154" s="332"/>
      <c r="K154" s="332"/>
      <c r="L154" s="332"/>
      <c r="M154" s="332"/>
      <c r="N154" s="332"/>
      <c r="O154" s="332"/>
      <c r="P154" s="332"/>
      <c r="Q154" s="332"/>
      <c r="R154" s="332"/>
      <c r="S154" s="332"/>
      <c r="T154" s="332"/>
      <c r="U154" s="332"/>
      <c r="V154" s="332"/>
      <c r="W154" s="332"/>
      <c r="X154" s="332"/>
      <c r="Y154" s="332"/>
      <c r="Z154" s="332"/>
    </row>
    <row r="155" spans="9:26" s="312" customFormat="1">
      <c r="I155" s="332"/>
      <c r="J155" s="332"/>
      <c r="K155" s="332"/>
      <c r="L155" s="332"/>
      <c r="M155" s="332"/>
      <c r="N155" s="332"/>
      <c r="O155" s="332"/>
      <c r="P155" s="332"/>
      <c r="Q155" s="332"/>
      <c r="R155" s="332"/>
      <c r="S155" s="332"/>
      <c r="T155" s="332"/>
      <c r="U155" s="332"/>
      <c r="V155" s="332"/>
      <c r="W155" s="332"/>
      <c r="X155" s="332"/>
      <c r="Y155" s="332"/>
      <c r="Z155" s="332"/>
    </row>
    <row r="156" spans="9:26" s="312" customFormat="1">
      <c r="I156" s="332"/>
      <c r="J156" s="332"/>
      <c r="K156" s="332"/>
      <c r="L156" s="332"/>
      <c r="M156" s="332"/>
      <c r="N156" s="332"/>
      <c r="O156" s="332"/>
      <c r="P156" s="332"/>
      <c r="Q156" s="332"/>
      <c r="R156" s="332"/>
      <c r="S156" s="332"/>
      <c r="T156" s="332"/>
      <c r="U156" s="332"/>
      <c r="V156" s="332"/>
      <c r="W156" s="332"/>
      <c r="X156" s="332"/>
      <c r="Y156" s="332"/>
      <c r="Z156" s="332"/>
    </row>
    <row r="157" spans="9:26" s="312" customFormat="1">
      <c r="I157" s="332"/>
      <c r="J157" s="332"/>
      <c r="K157" s="332"/>
      <c r="L157" s="332"/>
      <c r="M157" s="332"/>
      <c r="N157" s="332"/>
      <c r="O157" s="332"/>
      <c r="P157" s="332"/>
      <c r="Q157" s="332"/>
      <c r="R157" s="332"/>
      <c r="S157" s="332"/>
      <c r="T157" s="332"/>
      <c r="U157" s="332"/>
      <c r="V157" s="332"/>
      <c r="W157" s="332"/>
      <c r="X157" s="332"/>
      <c r="Y157" s="332"/>
      <c r="Z157" s="332"/>
    </row>
    <row r="158" spans="9:26" s="312" customFormat="1">
      <c r="I158" s="332"/>
      <c r="J158" s="332"/>
      <c r="K158" s="332"/>
      <c r="L158" s="332"/>
      <c r="M158" s="332"/>
      <c r="N158" s="332"/>
      <c r="O158" s="332"/>
      <c r="P158" s="332"/>
      <c r="Q158" s="332"/>
      <c r="R158" s="332"/>
      <c r="S158" s="332"/>
      <c r="T158" s="332"/>
      <c r="U158" s="332"/>
      <c r="V158" s="332"/>
      <c r="W158" s="332"/>
      <c r="X158" s="332"/>
      <c r="Y158" s="332"/>
      <c r="Z158" s="332"/>
    </row>
    <row r="159" spans="9:26" s="312" customFormat="1">
      <c r="I159" s="332"/>
      <c r="J159" s="332"/>
      <c r="K159" s="332"/>
      <c r="L159" s="332"/>
      <c r="M159" s="332"/>
      <c r="N159" s="332"/>
      <c r="O159" s="332"/>
      <c r="P159" s="332"/>
      <c r="Q159" s="332"/>
      <c r="R159" s="332"/>
      <c r="S159" s="332"/>
      <c r="T159" s="332"/>
      <c r="U159" s="332"/>
      <c r="V159" s="332"/>
      <c r="W159" s="332"/>
      <c r="X159" s="332"/>
      <c r="Y159" s="332"/>
      <c r="Z159" s="332"/>
    </row>
    <row r="160" spans="9:26" s="312" customFormat="1">
      <c r="I160" s="332"/>
      <c r="J160" s="332"/>
      <c r="K160" s="332"/>
      <c r="L160" s="332"/>
      <c r="M160" s="332"/>
      <c r="N160" s="332"/>
      <c r="O160" s="332"/>
      <c r="P160" s="332"/>
      <c r="Q160" s="332"/>
      <c r="R160" s="332"/>
      <c r="S160" s="332"/>
      <c r="T160" s="332"/>
      <c r="U160" s="332"/>
      <c r="V160" s="332"/>
      <c r="W160" s="332"/>
      <c r="X160" s="332"/>
      <c r="Y160" s="332"/>
      <c r="Z160" s="332"/>
    </row>
    <row r="161" spans="9:26" s="312" customFormat="1">
      <c r="I161" s="332"/>
      <c r="J161" s="332"/>
      <c r="K161" s="332"/>
      <c r="L161" s="332"/>
      <c r="M161" s="332"/>
      <c r="N161" s="332"/>
      <c r="O161" s="332"/>
      <c r="P161" s="332"/>
      <c r="Q161" s="332"/>
      <c r="R161" s="332"/>
      <c r="S161" s="332"/>
      <c r="T161" s="332"/>
      <c r="U161" s="332"/>
      <c r="V161" s="332"/>
      <c r="W161" s="332"/>
      <c r="X161" s="332"/>
      <c r="Y161" s="332"/>
      <c r="Z161" s="332"/>
    </row>
    <row r="162" spans="9:26" s="312" customFormat="1">
      <c r="I162" s="332"/>
      <c r="J162" s="332"/>
      <c r="K162" s="332"/>
      <c r="L162" s="332"/>
      <c r="M162" s="332"/>
      <c r="N162" s="332"/>
      <c r="O162" s="332"/>
      <c r="P162" s="332"/>
      <c r="Q162" s="332"/>
      <c r="R162" s="332"/>
      <c r="S162" s="332"/>
      <c r="T162" s="332"/>
      <c r="U162" s="332"/>
      <c r="V162" s="332"/>
      <c r="W162" s="332"/>
      <c r="X162" s="332"/>
      <c r="Y162" s="332"/>
      <c r="Z162" s="332"/>
    </row>
    <row r="163" spans="9:26" s="312" customFormat="1">
      <c r="I163" s="332"/>
      <c r="J163" s="332"/>
      <c r="K163" s="332"/>
      <c r="L163" s="332"/>
      <c r="M163" s="332"/>
      <c r="N163" s="332"/>
      <c r="O163" s="332"/>
      <c r="P163" s="332"/>
      <c r="Q163" s="332"/>
      <c r="R163" s="332"/>
      <c r="S163" s="332"/>
      <c r="T163" s="332"/>
      <c r="U163" s="332"/>
      <c r="V163" s="332"/>
      <c r="W163" s="332"/>
      <c r="X163" s="332"/>
      <c r="Y163" s="332"/>
      <c r="Z163" s="332"/>
    </row>
    <row r="164" spans="9:26" s="312" customFormat="1">
      <c r="I164" s="332"/>
      <c r="J164" s="332"/>
      <c r="K164" s="332"/>
      <c r="L164" s="332"/>
      <c r="M164" s="332"/>
      <c r="N164" s="332"/>
      <c r="O164" s="332"/>
      <c r="P164" s="332"/>
      <c r="Q164" s="332"/>
      <c r="R164" s="332"/>
      <c r="S164" s="332"/>
      <c r="T164" s="332"/>
      <c r="U164" s="332"/>
      <c r="V164" s="332"/>
      <c r="W164" s="332"/>
      <c r="X164" s="332"/>
      <c r="Y164" s="332"/>
      <c r="Z164" s="332"/>
    </row>
    <row r="165" spans="9:26" s="312" customFormat="1">
      <c r="I165" s="332"/>
      <c r="J165" s="332"/>
      <c r="K165" s="332"/>
      <c r="L165" s="332"/>
      <c r="M165" s="332"/>
      <c r="N165" s="332"/>
      <c r="O165" s="332"/>
      <c r="P165" s="332"/>
      <c r="Q165" s="332"/>
      <c r="R165" s="332"/>
      <c r="S165" s="332"/>
      <c r="T165" s="332"/>
      <c r="U165" s="332"/>
      <c r="V165" s="332"/>
      <c r="W165" s="332"/>
      <c r="X165" s="332"/>
      <c r="Y165" s="332"/>
      <c r="Z165" s="332"/>
    </row>
    <row r="166" spans="9:26" s="312" customFormat="1">
      <c r="I166" s="332"/>
      <c r="J166" s="332"/>
      <c r="K166" s="332"/>
      <c r="L166" s="332"/>
      <c r="M166" s="332"/>
      <c r="N166" s="332"/>
      <c r="O166" s="332"/>
      <c r="P166" s="332"/>
      <c r="Q166" s="332"/>
      <c r="R166" s="332"/>
      <c r="S166" s="332"/>
      <c r="T166" s="332"/>
      <c r="U166" s="332"/>
      <c r="V166" s="332"/>
      <c r="W166" s="332"/>
      <c r="X166" s="332"/>
      <c r="Y166" s="332"/>
      <c r="Z166" s="332"/>
    </row>
    <row r="167" spans="9:26" s="312" customFormat="1">
      <c r="I167" s="332"/>
      <c r="J167" s="332"/>
      <c r="K167" s="332"/>
      <c r="L167" s="332"/>
      <c r="M167" s="332"/>
      <c r="N167" s="332"/>
      <c r="O167" s="332"/>
      <c r="P167" s="332"/>
      <c r="Q167" s="332"/>
      <c r="R167" s="332"/>
      <c r="S167" s="332"/>
      <c r="T167" s="332"/>
      <c r="U167" s="332"/>
      <c r="V167" s="332"/>
      <c r="W167" s="332"/>
      <c r="X167" s="332"/>
      <c r="Y167" s="332"/>
      <c r="Z167" s="332"/>
    </row>
    <row r="168" spans="9:26" s="312" customFormat="1">
      <c r="I168" s="332"/>
      <c r="J168" s="332"/>
      <c r="K168" s="332"/>
      <c r="L168" s="332"/>
      <c r="M168" s="332"/>
      <c r="N168" s="332"/>
      <c r="O168" s="332"/>
      <c r="P168" s="332"/>
      <c r="Q168" s="332"/>
      <c r="R168" s="332"/>
      <c r="S168" s="332"/>
      <c r="T168" s="332"/>
      <c r="U168" s="332"/>
      <c r="V168" s="332"/>
      <c r="W168" s="332"/>
      <c r="X168" s="332"/>
      <c r="Y168" s="332"/>
      <c r="Z168" s="332"/>
    </row>
    <row r="169" spans="9:26" s="312" customFormat="1">
      <c r="I169" s="332"/>
      <c r="J169" s="332"/>
      <c r="K169" s="332"/>
      <c r="L169" s="332"/>
      <c r="M169" s="332"/>
      <c r="N169" s="332"/>
      <c r="O169" s="332"/>
      <c r="P169" s="332"/>
      <c r="Q169" s="332"/>
      <c r="R169" s="332"/>
      <c r="S169" s="332"/>
      <c r="T169" s="332"/>
      <c r="U169" s="332"/>
      <c r="V169" s="332"/>
      <c r="W169" s="332"/>
      <c r="X169" s="332"/>
      <c r="Y169" s="332"/>
      <c r="Z169" s="332"/>
    </row>
    <row r="170" spans="9:26" s="312" customFormat="1">
      <c r="I170" s="332"/>
      <c r="J170" s="332"/>
      <c r="K170" s="332"/>
      <c r="L170" s="332"/>
      <c r="M170" s="332"/>
      <c r="N170" s="332"/>
      <c r="O170" s="332"/>
      <c r="P170" s="332"/>
      <c r="Q170" s="332"/>
      <c r="R170" s="332"/>
      <c r="S170" s="332"/>
      <c r="T170" s="332"/>
      <c r="U170" s="332"/>
      <c r="V170" s="332"/>
      <c r="W170" s="332"/>
      <c r="X170" s="332"/>
      <c r="Y170" s="332"/>
      <c r="Z170" s="332"/>
    </row>
  </sheetData>
  <mergeCells count="1">
    <mergeCell ref="C21:C22"/>
  </mergeCells>
  <printOptions horizontalCentered="1"/>
  <pageMargins left="0.25" right="0.25" top="0.75" bottom="0.75" header="0.3" footer="0.3"/>
  <pageSetup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18</vt:i4>
      </vt:variant>
    </vt:vector>
  </HeadingPairs>
  <TitlesOfParts>
    <vt:vector size="25" baseType="lpstr">
      <vt:lpstr>Title Page</vt:lpstr>
      <vt:lpstr>Inputs</vt:lpstr>
      <vt:lpstr>Flock</vt:lpstr>
      <vt:lpstr>Rams</vt:lpstr>
      <vt:lpstr>Replacement</vt:lpstr>
      <vt:lpstr>Finish Lambs</vt:lpstr>
      <vt:lpstr>Farm Flock to Finish</vt:lpstr>
      <vt:lpstr>Depreciable</vt:lpstr>
      <vt:lpstr>Feed</vt:lpstr>
      <vt:lpstr>FinishFeed</vt:lpstr>
      <vt:lpstr>FinishNonFeed</vt:lpstr>
      <vt:lpstr>FlockFeed</vt:lpstr>
      <vt:lpstr>FlockNonFeed</vt:lpstr>
      <vt:lpstr>NonFeed</vt:lpstr>
      <vt:lpstr>Overhead</vt:lpstr>
      <vt:lpstr>'Farm Flock to Finish'!Print_Area</vt:lpstr>
      <vt:lpstr>'Finish Lambs'!Print_Area</vt:lpstr>
      <vt:lpstr>Flock!Print_Area</vt:lpstr>
      <vt:lpstr>Inputs!Print_Area</vt:lpstr>
      <vt:lpstr>Rams!Print_Area</vt:lpstr>
      <vt:lpstr>Replacement!Print_Area</vt:lpstr>
      <vt:lpstr>'Title Page'!Print_Area</vt:lpstr>
      <vt:lpstr>RamsFeed</vt:lpstr>
      <vt:lpstr>RamsNonFeed</vt:lpstr>
      <vt:lpstr>ReplacementFeed</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Wilson</dc:creator>
  <cp:lastModifiedBy>Roger Wilson</cp:lastModifiedBy>
  <cp:lastPrinted>2010-06-04T14:04:55Z</cp:lastPrinted>
  <dcterms:created xsi:type="dcterms:W3CDTF">2009-03-11T18:48:46Z</dcterms:created>
  <dcterms:modified xsi:type="dcterms:W3CDTF">2010-06-04T14:05:25Z</dcterms:modified>
</cp:coreProperties>
</file>