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0" windowWidth="18975" windowHeight="12240"/>
  </bookViews>
  <sheets>
    <sheet name="Title Page" sheetId="8" r:id="rId1"/>
    <sheet name="Inputs" sheetId="1" r:id="rId2"/>
    <sheet name="Bucks" sheetId="6" r:id="rId3"/>
    <sheet name="Replacement" sheetId="7" r:id="rId4"/>
    <sheet name="Herd" sheetId="2" r:id="rId5"/>
    <sheet name="Finish Kids" sheetId="3" r:id="rId6"/>
    <sheet name="Farm Herd to Finish" sheetId="4" r:id="rId7"/>
  </sheets>
  <definedNames>
    <definedName name="Depreciable">Inputs!$B$62:$H$70</definedName>
    <definedName name="Feed">Inputs!$B$31:$G$40</definedName>
    <definedName name="FinishFeed">'Finish Kids'!$B$16:$E$21</definedName>
    <definedName name="FinishNonFeed">'Finish Kids'!$B$25:$H$33</definedName>
    <definedName name="FlockFeed">Herd!$B$16:$E$22</definedName>
    <definedName name="FlockNonFeed">Herd!$B$27:$H$37</definedName>
    <definedName name="NonFeed">Inputs!$B$44:$F$58</definedName>
    <definedName name="Overhead">Inputs!$B$77:$H$82</definedName>
    <definedName name="_xlnm.Print_Area" localSheetId="2">Bucks!$B$1:$H$35</definedName>
    <definedName name="_xlnm.Print_Area" localSheetId="6">'Farm Herd to Finish'!$B$1:$H$88</definedName>
    <definedName name="_xlnm.Print_Area" localSheetId="5">'Finish Kids'!$B$1:$I$69</definedName>
    <definedName name="_xlnm.Print_Area" localSheetId="4">Herd!$B$1:$J$75</definedName>
    <definedName name="_xlnm.Print_Area" localSheetId="1">Inputs!$B$1:$H$82</definedName>
    <definedName name="_xlnm.Print_Area" localSheetId="3">Replacement!$B$1:$H$12</definedName>
    <definedName name="_xlnm.Print_Area" localSheetId="0">'Title Page'!$A$1:$P$53</definedName>
    <definedName name="RamsFeed">Bucks!$B$15:$E$21</definedName>
    <definedName name="RamsNonFeed" localSheetId="3">Replacement!#REF!</definedName>
    <definedName name="RamsNonFeed">Bucks!$B$25:$H$31</definedName>
    <definedName name="ReplacementFeed">Replacement!$B$5:$E$11</definedName>
  </definedNames>
  <calcPr calcId="125725" iterate="1" iterateCount="1000"/>
</workbook>
</file>

<file path=xl/calcChain.xml><?xml version="1.0" encoding="utf-8"?>
<calcChain xmlns="http://schemas.openxmlformats.org/spreadsheetml/2006/main">
  <c r="E20" i="1"/>
  <c r="C4" i="2"/>
  <c r="H34"/>
  <c r="H35"/>
  <c r="H36"/>
  <c r="H33"/>
  <c r="H16"/>
  <c r="I16" s="1"/>
  <c r="H22"/>
  <c r="I22" s="1"/>
  <c r="H21"/>
  <c r="I21" s="1"/>
  <c r="E4"/>
  <c r="C10" i="3"/>
  <c r="C4" i="4"/>
  <c r="E25" i="1"/>
  <c r="E76" i="4"/>
  <c r="G76" s="1"/>
  <c r="F65" i="2"/>
  <c r="I66" i="3"/>
  <c r="F66"/>
  <c r="E66"/>
  <c r="D66"/>
  <c r="I65"/>
  <c r="E65"/>
  <c r="D65"/>
  <c r="I64"/>
  <c r="E64"/>
  <c r="D64"/>
  <c r="I63"/>
  <c r="E63"/>
  <c r="D63"/>
  <c r="H65" i="2"/>
  <c r="F72"/>
  <c r="F71"/>
  <c r="F70"/>
  <c r="F69"/>
  <c r="F68"/>
  <c r="F67"/>
  <c r="F66"/>
  <c r="E12"/>
  <c r="G65" i="4"/>
  <c r="G66"/>
  <c r="G67"/>
  <c r="G68"/>
  <c r="G64"/>
  <c r="B35"/>
  <c r="B36"/>
  <c r="B37"/>
  <c r="B38"/>
  <c r="D14"/>
  <c r="U29" i="3"/>
  <c r="U30"/>
  <c r="U31"/>
  <c r="U32"/>
  <c r="U33"/>
  <c r="U34"/>
  <c r="U28"/>
  <c r="D11"/>
  <c r="C5" i="2"/>
  <c r="D1" i="7"/>
  <c r="C1" i="6"/>
  <c r="C1" i="2"/>
  <c r="C6" i="7"/>
  <c r="R13"/>
  <c r="R12"/>
  <c r="R11"/>
  <c r="P11"/>
  <c r="O11"/>
  <c r="N11"/>
  <c r="F11"/>
  <c r="D11"/>
  <c r="R10"/>
  <c r="P10"/>
  <c r="D10"/>
  <c r="R9"/>
  <c r="P9"/>
  <c r="D9"/>
  <c r="R8"/>
  <c r="P8"/>
  <c r="D8"/>
  <c r="R7"/>
  <c r="P7"/>
  <c r="D7"/>
  <c r="R6"/>
  <c r="P6"/>
  <c r="D6"/>
  <c r="R5"/>
  <c r="P5"/>
  <c r="D5"/>
  <c r="F65" i="1"/>
  <c r="G42" i="4"/>
  <c r="G43"/>
  <c r="G17" i="3"/>
  <c r="G18"/>
  <c r="G19"/>
  <c r="G20"/>
  <c r="G21"/>
  <c r="G16"/>
  <c r="D17"/>
  <c r="D18"/>
  <c r="D19"/>
  <c r="D20"/>
  <c r="D21"/>
  <c r="D16"/>
  <c r="F7" i="4"/>
  <c r="F6"/>
  <c r="E6"/>
  <c r="D6"/>
  <c r="C6"/>
  <c r="G6" s="1"/>
  <c r="F5"/>
  <c r="B48" i="3"/>
  <c r="B49"/>
  <c r="B50"/>
  <c r="B51"/>
  <c r="B52"/>
  <c r="B53" i="2"/>
  <c r="E53" s="1"/>
  <c r="H53" s="1"/>
  <c r="I53" s="1"/>
  <c r="B54"/>
  <c r="E54" s="1"/>
  <c r="B55"/>
  <c r="E55" s="1"/>
  <c r="B56"/>
  <c r="E56" s="1"/>
  <c r="B57"/>
  <c r="E57" s="1"/>
  <c r="I44" i="3"/>
  <c r="I43"/>
  <c r="I42"/>
  <c r="I41"/>
  <c r="I32"/>
  <c r="I31"/>
  <c r="I20"/>
  <c r="I21"/>
  <c r="H31"/>
  <c r="H32"/>
  <c r="H20"/>
  <c r="H21"/>
  <c r="F19"/>
  <c r="F20"/>
  <c r="F21"/>
  <c r="E11"/>
  <c r="C11"/>
  <c r="E10"/>
  <c r="H28" i="6"/>
  <c r="H29"/>
  <c r="H30"/>
  <c r="H20"/>
  <c r="H21"/>
  <c r="F20"/>
  <c r="F21"/>
  <c r="E5"/>
  <c r="E7" i="4" s="1"/>
  <c r="C5" i="6"/>
  <c r="C7" i="4" s="1"/>
  <c r="R34" i="6"/>
  <c r="R33"/>
  <c r="R32"/>
  <c r="R31"/>
  <c r="R30"/>
  <c r="E30"/>
  <c r="R29"/>
  <c r="E29"/>
  <c r="R28"/>
  <c r="E28"/>
  <c r="R27"/>
  <c r="E27"/>
  <c r="H27" s="1"/>
  <c r="E26"/>
  <c r="H26" s="1"/>
  <c r="E25"/>
  <c r="R24"/>
  <c r="R23"/>
  <c r="R22"/>
  <c r="R21"/>
  <c r="P21"/>
  <c r="O21"/>
  <c r="N21"/>
  <c r="D21"/>
  <c r="R20"/>
  <c r="P20"/>
  <c r="O20"/>
  <c r="N20"/>
  <c r="D20"/>
  <c r="R19"/>
  <c r="P19"/>
  <c r="O19"/>
  <c r="N19"/>
  <c r="D19"/>
  <c r="R18"/>
  <c r="P18"/>
  <c r="O18"/>
  <c r="N18"/>
  <c r="D18"/>
  <c r="R17"/>
  <c r="P17"/>
  <c r="O17"/>
  <c r="N17"/>
  <c r="D17"/>
  <c r="R16"/>
  <c r="P16"/>
  <c r="O16"/>
  <c r="N16"/>
  <c r="D16"/>
  <c r="R15"/>
  <c r="P15"/>
  <c r="O15"/>
  <c r="N15"/>
  <c r="D15"/>
  <c r="E11"/>
  <c r="C11"/>
  <c r="I35" i="2"/>
  <c r="I36"/>
  <c r="E31"/>
  <c r="H31" s="1"/>
  <c r="E32"/>
  <c r="H32" s="1"/>
  <c r="E33"/>
  <c r="E34"/>
  <c r="I34" s="1"/>
  <c r="E35"/>
  <c r="E36"/>
  <c r="T34"/>
  <c r="T35"/>
  <c r="T36"/>
  <c r="T37"/>
  <c r="T38"/>
  <c r="T39"/>
  <c r="T40"/>
  <c r="T33"/>
  <c r="D17"/>
  <c r="D18"/>
  <c r="D19"/>
  <c r="D20"/>
  <c r="D21"/>
  <c r="D22"/>
  <c r="D16"/>
  <c r="T16"/>
  <c r="E14" i="4"/>
  <c r="C13"/>
  <c r="B53"/>
  <c r="B78" s="1"/>
  <c r="B54"/>
  <c r="D54" s="1"/>
  <c r="B55"/>
  <c r="B80" s="1"/>
  <c r="B56"/>
  <c r="D56" s="1"/>
  <c r="B57"/>
  <c r="B82" s="1"/>
  <c r="B58"/>
  <c r="D58" s="1"/>
  <c r="B59"/>
  <c r="B84" s="1"/>
  <c r="B60"/>
  <c r="D60" s="1"/>
  <c r="B52"/>
  <c r="B77" s="1"/>
  <c r="B32"/>
  <c r="B33"/>
  <c r="B34"/>
  <c r="B39"/>
  <c r="B40"/>
  <c r="B41"/>
  <c r="B44"/>
  <c r="G44" s="1"/>
  <c r="B45"/>
  <c r="G45" s="1"/>
  <c r="B31"/>
  <c r="B19"/>
  <c r="B20"/>
  <c r="B21"/>
  <c r="B22"/>
  <c r="C22" s="1"/>
  <c r="B23"/>
  <c r="B24"/>
  <c r="C24" s="1"/>
  <c r="B25"/>
  <c r="B26"/>
  <c r="C26" s="1"/>
  <c r="B27"/>
  <c r="C27" s="1"/>
  <c r="B18"/>
  <c r="T17" i="2"/>
  <c r="T18"/>
  <c r="T19"/>
  <c r="T20"/>
  <c r="T21"/>
  <c r="T22"/>
  <c r="T24"/>
  <c r="T25"/>
  <c r="T26"/>
  <c r="R16"/>
  <c r="R17"/>
  <c r="R18"/>
  <c r="R19"/>
  <c r="R20"/>
  <c r="R21"/>
  <c r="R22"/>
  <c r="C14" i="4"/>
  <c r="G14" s="1"/>
  <c r="E13"/>
  <c r="E12"/>
  <c r="I5" i="3"/>
  <c r="I7"/>
  <c r="I13"/>
  <c r="I14"/>
  <c r="I23"/>
  <c r="I36"/>
  <c r="I46"/>
  <c r="E42"/>
  <c r="E43"/>
  <c r="E44"/>
  <c r="J31" i="2" l="1"/>
  <c r="J33"/>
  <c r="J35"/>
  <c r="J53"/>
  <c r="J16"/>
  <c r="J32"/>
  <c r="J34"/>
  <c r="J36"/>
  <c r="J65"/>
  <c r="J22"/>
  <c r="J21"/>
  <c r="D4" i="4"/>
  <c r="E4"/>
  <c r="H66" i="3"/>
  <c r="D77" i="4"/>
  <c r="E77"/>
  <c r="D80"/>
  <c r="G80" s="1"/>
  <c r="E80"/>
  <c r="D84"/>
  <c r="E84"/>
  <c r="D82"/>
  <c r="E82"/>
  <c r="D78"/>
  <c r="G78" s="1"/>
  <c r="E78"/>
  <c r="B85"/>
  <c r="B83"/>
  <c r="B81"/>
  <c r="B79"/>
  <c r="G84"/>
  <c r="H64" i="3"/>
  <c r="H63"/>
  <c r="H65"/>
  <c r="I65" i="2"/>
  <c r="H11" i="7"/>
  <c r="C19" i="4"/>
  <c r="C23"/>
  <c r="H10" i="7"/>
  <c r="H11" i="3"/>
  <c r="C18" i="4"/>
  <c r="C4" i="3"/>
  <c r="G7" i="4"/>
  <c r="D18"/>
  <c r="D26"/>
  <c r="D24"/>
  <c r="D22"/>
  <c r="D20"/>
  <c r="F18"/>
  <c r="F26"/>
  <c r="F24"/>
  <c r="F22"/>
  <c r="F20"/>
  <c r="D27"/>
  <c r="D25"/>
  <c r="D23"/>
  <c r="D21"/>
  <c r="D19"/>
  <c r="F27"/>
  <c r="F25"/>
  <c r="F23"/>
  <c r="F21"/>
  <c r="F19"/>
  <c r="H5" i="6"/>
  <c r="H25"/>
  <c r="H7"/>
  <c r="H11"/>
  <c r="C12" i="2"/>
  <c r="C12" i="4" s="1"/>
  <c r="G12" s="1"/>
  <c r="I31" i="2"/>
  <c r="I32"/>
  <c r="I33"/>
  <c r="D52" i="4"/>
  <c r="D59"/>
  <c r="D57"/>
  <c r="D55"/>
  <c r="D53"/>
  <c r="G13"/>
  <c r="H42" i="3"/>
  <c r="H43"/>
  <c r="H44"/>
  <c r="U41"/>
  <c r="U42"/>
  <c r="U43"/>
  <c r="U44"/>
  <c r="U40"/>
  <c r="U14"/>
  <c r="U15"/>
  <c r="U16"/>
  <c r="U17"/>
  <c r="U18"/>
  <c r="U19"/>
  <c r="U20"/>
  <c r="U21"/>
  <c r="U22"/>
  <c r="U13"/>
  <c r="H78" i="1"/>
  <c r="E48" i="3" s="1"/>
  <c r="H79" i="1"/>
  <c r="E49" i="3" s="1"/>
  <c r="H80" i="1"/>
  <c r="E50" i="3" s="1"/>
  <c r="H81" i="1"/>
  <c r="E51" i="3" s="1"/>
  <c r="H82" i="1"/>
  <c r="E52" i="3" s="1"/>
  <c r="H77" i="1"/>
  <c r="E46" i="2"/>
  <c r="E47"/>
  <c r="E48"/>
  <c r="E49"/>
  <c r="E44"/>
  <c r="E43"/>
  <c r="T44"/>
  <c r="T45"/>
  <c r="T46"/>
  <c r="T47"/>
  <c r="T43"/>
  <c r="G32" i="1"/>
  <c r="H20" i="2" s="1"/>
  <c r="I20" s="1"/>
  <c r="G33" i="1"/>
  <c r="G34"/>
  <c r="H6" i="7" s="1"/>
  <c r="G35" i="1"/>
  <c r="H7" i="7" s="1"/>
  <c r="G36" i="1"/>
  <c r="F9" i="7" s="1"/>
  <c r="G37" i="1"/>
  <c r="E24" i="4" s="1"/>
  <c r="G38" i="1"/>
  <c r="E25" i="4" s="1"/>
  <c r="G39" i="1"/>
  <c r="G40"/>
  <c r="G31"/>
  <c r="D10" i="3"/>
  <c r="E4"/>
  <c r="E5" i="4" s="1"/>
  <c r="D4" i="3"/>
  <c r="D5" i="4" s="1"/>
  <c r="B28" i="2"/>
  <c r="B29"/>
  <c r="B30"/>
  <c r="B27"/>
  <c r="F5"/>
  <c r="H5" s="1"/>
  <c r="J5" s="1"/>
  <c r="F4"/>
  <c r="H4" s="1"/>
  <c r="H70" i="1"/>
  <c r="H69"/>
  <c r="H68"/>
  <c r="H67"/>
  <c r="H66"/>
  <c r="H65"/>
  <c r="E62" i="3" s="1"/>
  <c r="H64" i="1"/>
  <c r="H63"/>
  <c r="E61" i="3" s="1"/>
  <c r="H62" i="1"/>
  <c r="F45"/>
  <c r="F46"/>
  <c r="F47"/>
  <c r="F48"/>
  <c r="F49"/>
  <c r="F50"/>
  <c r="F51"/>
  <c r="F52"/>
  <c r="F53"/>
  <c r="F54"/>
  <c r="F55"/>
  <c r="F56"/>
  <c r="F57"/>
  <c r="F58"/>
  <c r="F44"/>
  <c r="G82" i="4" l="1"/>
  <c r="I11" i="3"/>
  <c r="I4" i="2"/>
  <c r="J4"/>
  <c r="J20"/>
  <c r="G4" i="4"/>
  <c r="E60" i="3"/>
  <c r="H60" s="1"/>
  <c r="I60" s="1"/>
  <c r="G77" i="4"/>
  <c r="D81"/>
  <c r="E81"/>
  <c r="D85"/>
  <c r="E85"/>
  <c r="D79"/>
  <c r="E79"/>
  <c r="D83"/>
  <c r="E83"/>
  <c r="C20"/>
  <c r="D61" i="3"/>
  <c r="H61" s="1"/>
  <c r="E26" i="4"/>
  <c r="G26" s="1"/>
  <c r="H15" i="6"/>
  <c r="H5" i="7"/>
  <c r="H9"/>
  <c r="H8"/>
  <c r="C21" i="4"/>
  <c r="C25"/>
  <c r="G25" s="1"/>
  <c r="H10" i="3"/>
  <c r="F20" i="2"/>
  <c r="H18" i="6"/>
  <c r="F18"/>
  <c r="E21" i="4"/>
  <c r="F6" i="7"/>
  <c r="E27" i="4"/>
  <c r="G27" s="1"/>
  <c r="F18" i="3"/>
  <c r="H18" s="1"/>
  <c r="H19" i="2"/>
  <c r="F19"/>
  <c r="H4" i="3"/>
  <c r="F16"/>
  <c r="H16" s="1"/>
  <c r="F22" i="2"/>
  <c r="F8" i="7"/>
  <c r="E23" i="4"/>
  <c r="F10" i="7"/>
  <c r="F21" i="2"/>
  <c r="H19" i="6"/>
  <c r="F19"/>
  <c r="F7" i="7"/>
  <c r="H17" i="6"/>
  <c r="F18" i="2"/>
  <c r="F17" i="6"/>
  <c r="H18" i="2"/>
  <c r="H19" i="3"/>
  <c r="I19" s="1"/>
  <c r="E18" i="4"/>
  <c r="G18" s="1"/>
  <c r="F5" i="7"/>
  <c r="G24" i="4"/>
  <c r="F17" i="3"/>
  <c r="H17" s="1"/>
  <c r="I17" s="1"/>
  <c r="G36" i="4"/>
  <c r="H12" i="2"/>
  <c r="E20" i="4"/>
  <c r="E19"/>
  <c r="E22"/>
  <c r="G40"/>
  <c r="G39"/>
  <c r="C5"/>
  <c r="I18" i="3"/>
  <c r="E27" i="2"/>
  <c r="H16" i="6"/>
  <c r="F16"/>
  <c r="F17" i="2"/>
  <c r="H17"/>
  <c r="F16"/>
  <c r="F15" i="6"/>
  <c r="I12" i="2"/>
  <c r="J12"/>
  <c r="E29"/>
  <c r="H29" s="1"/>
  <c r="J29" s="1"/>
  <c r="E30"/>
  <c r="H30" s="1"/>
  <c r="J30" s="1"/>
  <c r="E28"/>
  <c r="H28" s="1"/>
  <c r="J28" s="1"/>
  <c r="G58" i="4"/>
  <c r="G53"/>
  <c r="G55"/>
  <c r="G52"/>
  <c r="G56"/>
  <c r="G60"/>
  <c r="H12"/>
  <c r="G15"/>
  <c r="G57"/>
  <c r="G59"/>
  <c r="E39" i="3"/>
  <c r="E40"/>
  <c r="I4"/>
  <c r="I6" s="1"/>
  <c r="I10" l="1"/>
  <c r="I12" s="1"/>
  <c r="H12"/>
  <c r="I16"/>
  <c r="H22"/>
  <c r="I18" i="2"/>
  <c r="J18"/>
  <c r="I17"/>
  <c r="J17"/>
  <c r="I19"/>
  <c r="J19"/>
  <c r="H4" i="4"/>
  <c r="H77"/>
  <c r="H84"/>
  <c r="H82"/>
  <c r="H80"/>
  <c r="H78"/>
  <c r="H76"/>
  <c r="G5"/>
  <c r="H6"/>
  <c r="H14"/>
  <c r="H26"/>
  <c r="H44"/>
  <c r="H40"/>
  <c r="H58"/>
  <c r="H64"/>
  <c r="H68"/>
  <c r="H13"/>
  <c r="H25"/>
  <c r="H36"/>
  <c r="H45"/>
  <c r="H53"/>
  <c r="H57"/>
  <c r="H65"/>
  <c r="H67"/>
  <c r="H7"/>
  <c r="H24"/>
  <c r="H42"/>
  <c r="H52"/>
  <c r="H56"/>
  <c r="H60"/>
  <c r="H66"/>
  <c r="H5"/>
  <c r="H27"/>
  <c r="H43"/>
  <c r="H39"/>
  <c r="H55"/>
  <c r="H59"/>
  <c r="G20"/>
  <c r="H20" s="1"/>
  <c r="G83"/>
  <c r="H83" s="1"/>
  <c r="G79"/>
  <c r="H79" s="1"/>
  <c r="I61" i="3"/>
  <c r="H22" i="6"/>
  <c r="H31" s="1"/>
  <c r="G85" i="4"/>
  <c r="H85" s="1"/>
  <c r="G81"/>
  <c r="H81" s="1"/>
  <c r="H12" i="7"/>
  <c r="H23" i="2" s="1"/>
  <c r="H24" s="1"/>
  <c r="G23" i="4"/>
  <c r="H23" s="1"/>
  <c r="G19"/>
  <c r="H19" s="1"/>
  <c r="G22"/>
  <c r="H22" s="1"/>
  <c r="G21"/>
  <c r="H21" s="1"/>
  <c r="I22" i="3"/>
  <c r="G34" i="4"/>
  <c r="H34" s="1"/>
  <c r="G8"/>
  <c r="H27" i="2"/>
  <c r="J27" s="1"/>
  <c r="I28"/>
  <c r="I29"/>
  <c r="I30"/>
  <c r="H7"/>
  <c r="I5"/>
  <c r="H15" i="4"/>
  <c r="H18"/>
  <c r="H6" i="3"/>
  <c r="I23" i="2" l="1"/>
  <c r="I24" s="1"/>
  <c r="J23"/>
  <c r="J24" s="1"/>
  <c r="H69" i="4"/>
  <c r="H86"/>
  <c r="G86"/>
  <c r="E27" i="3"/>
  <c r="D62"/>
  <c r="H62" s="1"/>
  <c r="H67" s="1"/>
  <c r="E72" i="2"/>
  <c r="H72" s="1"/>
  <c r="J72" s="1"/>
  <c r="E70"/>
  <c r="H70" s="1"/>
  <c r="J70" s="1"/>
  <c r="E68"/>
  <c r="H68" s="1"/>
  <c r="J68" s="1"/>
  <c r="E66"/>
  <c r="H66" s="1"/>
  <c r="E71"/>
  <c r="H71" s="1"/>
  <c r="J71" s="1"/>
  <c r="E69"/>
  <c r="H69" s="1"/>
  <c r="J69" s="1"/>
  <c r="E67"/>
  <c r="H67" s="1"/>
  <c r="J67" s="1"/>
  <c r="G28" i="4"/>
  <c r="I27" i="2"/>
  <c r="H8" i="4"/>
  <c r="H27" i="3"/>
  <c r="E29"/>
  <c r="H29" s="1"/>
  <c r="E31"/>
  <c r="E25"/>
  <c r="H25" s="1"/>
  <c r="E26"/>
  <c r="H26" s="1"/>
  <c r="E28"/>
  <c r="H28" s="1"/>
  <c r="E30"/>
  <c r="H30" s="1"/>
  <c r="E32"/>
  <c r="H32" i="6"/>
  <c r="H33" s="1"/>
  <c r="H35" s="1"/>
  <c r="H47" i="2"/>
  <c r="J47" s="1"/>
  <c r="H49"/>
  <c r="J49" s="1"/>
  <c r="H44"/>
  <c r="J44" s="1"/>
  <c r="H46"/>
  <c r="J46" s="1"/>
  <c r="H48"/>
  <c r="J48" s="1"/>
  <c r="H43"/>
  <c r="J43" s="1"/>
  <c r="H56"/>
  <c r="H49" i="3"/>
  <c r="I49" s="1"/>
  <c r="H51"/>
  <c r="I51" s="1"/>
  <c r="H55" i="2"/>
  <c r="H57"/>
  <c r="H40" i="3"/>
  <c r="I40" s="1"/>
  <c r="H39"/>
  <c r="H28" i="4"/>
  <c r="H48" i="3"/>
  <c r="H50"/>
  <c r="I50" s="1"/>
  <c r="H52"/>
  <c r="I52" s="1"/>
  <c r="E41"/>
  <c r="I7" i="2"/>
  <c r="J7"/>
  <c r="H54"/>
  <c r="H58" s="1"/>
  <c r="E45"/>
  <c r="I48" i="3" l="1"/>
  <c r="H53"/>
  <c r="J66" i="2"/>
  <c r="H73"/>
  <c r="I55"/>
  <c r="J55"/>
  <c r="I56"/>
  <c r="J56"/>
  <c r="I54"/>
  <c r="J54"/>
  <c r="I57"/>
  <c r="J57"/>
  <c r="I43"/>
  <c r="I46"/>
  <c r="I49"/>
  <c r="I48"/>
  <c r="I44"/>
  <c r="I47"/>
  <c r="I62" i="3"/>
  <c r="I67" s="1"/>
  <c r="I67" i="2"/>
  <c r="I71"/>
  <c r="I68"/>
  <c r="I72"/>
  <c r="I69"/>
  <c r="I66"/>
  <c r="I70"/>
  <c r="H37"/>
  <c r="I39" i="3"/>
  <c r="I45" s="1"/>
  <c r="I28"/>
  <c r="G35" i="4"/>
  <c r="H35" s="1"/>
  <c r="H11" i="2"/>
  <c r="J11" s="1"/>
  <c r="G37" i="4"/>
  <c r="H37" s="1"/>
  <c r="I25" i="3"/>
  <c r="H33"/>
  <c r="I30"/>
  <c r="G41" i="4"/>
  <c r="H41" s="1"/>
  <c r="I29" i="3"/>
  <c r="G38" i="4"/>
  <c r="H38" s="1"/>
  <c r="I26" i="3"/>
  <c r="G32" i="4"/>
  <c r="H32" s="1"/>
  <c r="I27" i="3"/>
  <c r="G33" i="4"/>
  <c r="H33" s="1"/>
  <c r="G31"/>
  <c r="H31" s="1"/>
  <c r="H45" i="2"/>
  <c r="J45" s="1"/>
  <c r="H41" i="3"/>
  <c r="H45" s="1"/>
  <c r="I53"/>
  <c r="G54" i="4"/>
  <c r="H54" s="1"/>
  <c r="G69"/>
  <c r="J58" i="2" l="1"/>
  <c r="H38"/>
  <c r="G46" i="4"/>
  <c r="H46" s="1"/>
  <c r="I58" i="2"/>
  <c r="H34" i="3"/>
  <c r="H35" s="1"/>
  <c r="I54"/>
  <c r="H39" i="2"/>
  <c r="J37"/>
  <c r="I45"/>
  <c r="J73"/>
  <c r="I73"/>
  <c r="H54" i="3"/>
  <c r="I11" i="2"/>
  <c r="I33" i="3"/>
  <c r="I34" s="1"/>
  <c r="I35" s="1"/>
  <c r="I37" i="2"/>
  <c r="I38" s="1"/>
  <c r="J50"/>
  <c r="I50"/>
  <c r="H61" i="4"/>
  <c r="H70" s="1"/>
  <c r="G61"/>
  <c r="G70" s="1"/>
  <c r="H50" i="2"/>
  <c r="H59" s="1"/>
  <c r="J38" l="1"/>
  <c r="J39" s="1"/>
  <c r="H60"/>
  <c r="H74" s="1"/>
  <c r="H75" s="1"/>
  <c r="I39"/>
  <c r="I59"/>
  <c r="J59"/>
  <c r="H47" i="4"/>
  <c r="H48" s="1"/>
  <c r="H71" s="1"/>
  <c r="H72" s="1"/>
  <c r="G47"/>
  <c r="G48" s="1"/>
  <c r="H61" i="2" l="1"/>
  <c r="I60"/>
  <c r="I61" s="1"/>
  <c r="J60"/>
  <c r="I55" i="3"/>
  <c r="I68" s="1"/>
  <c r="H55"/>
  <c r="I74" i="2" l="1"/>
  <c r="I75" s="1"/>
  <c r="H56" i="3"/>
  <c r="H68"/>
  <c r="H69" s="1"/>
  <c r="I56"/>
  <c r="I69"/>
  <c r="H87" i="4"/>
  <c r="H88" s="1"/>
  <c r="J61" i="2"/>
  <c r="J74"/>
  <c r="J75" s="1"/>
  <c r="G71" i="4"/>
  <c r="G72" l="1"/>
  <c r="G87"/>
  <c r="G88" s="1"/>
</calcChain>
</file>

<file path=xl/sharedStrings.xml><?xml version="1.0" encoding="utf-8"?>
<sst xmlns="http://schemas.openxmlformats.org/spreadsheetml/2006/main" count="506" uniqueCount="182">
  <si>
    <t>pounds</t>
  </si>
  <si>
    <t>$ / head</t>
  </si>
  <si>
    <t>years</t>
  </si>
  <si>
    <t>per head</t>
  </si>
  <si>
    <t>Price</t>
  </si>
  <si>
    <t>head</t>
  </si>
  <si>
    <t>Feed</t>
  </si>
  <si>
    <t>Description</t>
  </si>
  <si>
    <t>Price per Unit Purchased</t>
  </si>
  <si>
    <t>Fed Unit per Purchased Unit</t>
  </si>
  <si>
    <t/>
  </si>
  <si>
    <t>Labor</t>
  </si>
  <si>
    <t>Fuel</t>
  </si>
  <si>
    <t>Depreciable Input Costs</t>
  </si>
  <si>
    <t>Current Cost</t>
  </si>
  <si>
    <t>Future Cost</t>
  </si>
  <si>
    <t>Annual Repairs</t>
  </si>
  <si>
    <t>Repairs</t>
  </si>
  <si>
    <t>Finishing Housing</t>
  </si>
  <si>
    <t>Interest</t>
  </si>
  <si>
    <t>Operations Interest Rate</t>
  </si>
  <si>
    <t>Opportunity Rate</t>
  </si>
  <si>
    <t>Real Estate Value</t>
  </si>
  <si>
    <t>Real Estate Tax</t>
  </si>
  <si>
    <t>per year</t>
  </si>
  <si>
    <t>Annual Insurance Premium</t>
  </si>
  <si>
    <t>Professional Fees</t>
  </si>
  <si>
    <t>Annual Management Charge</t>
  </si>
  <si>
    <t>Other</t>
  </si>
  <si>
    <t>head/year</t>
  </si>
  <si>
    <t>Non-Feed Input Costs</t>
  </si>
  <si>
    <t>Cost per Year</t>
  </si>
  <si>
    <t>Percent for Finishing</t>
  </si>
  <si>
    <t>Remaining Life</t>
  </si>
  <si>
    <t>As Fed Price</t>
  </si>
  <si>
    <t>Income</t>
  </si>
  <si>
    <t>Weight</t>
  </si>
  <si>
    <t>Total</t>
  </si>
  <si>
    <t>Gross Income</t>
  </si>
  <si>
    <t>Variable Costs</t>
  </si>
  <si>
    <t>$ per head</t>
  </si>
  <si>
    <t>Units</t>
  </si>
  <si>
    <t>Total Feed</t>
  </si>
  <si>
    <t>Operations Interest</t>
  </si>
  <si>
    <t>Total Variable Costs</t>
  </si>
  <si>
    <t>Fixed Costs</t>
  </si>
  <si>
    <t>Depreciables Input Costs</t>
  </si>
  <si>
    <t>Insurance</t>
  </si>
  <si>
    <t>Management</t>
  </si>
  <si>
    <t>Total Overhead and Ownership</t>
  </si>
  <si>
    <t>Total Fixed Costs</t>
  </si>
  <si>
    <t>Net Income</t>
  </si>
  <si>
    <t>Number</t>
  </si>
  <si>
    <t>Total NonFeed</t>
  </si>
  <si>
    <t>Depreciation</t>
  </si>
  <si>
    <t>Other Variable</t>
  </si>
  <si>
    <t>Allocation</t>
  </si>
  <si>
    <t>Total Other</t>
  </si>
  <si>
    <t>Total Ownership</t>
  </si>
  <si>
    <t>Oppor-tunity</t>
  </si>
  <si>
    <t>Total Overhead</t>
  </si>
  <si>
    <t>Overhead Costs</t>
  </si>
  <si>
    <t>Days fed</t>
  </si>
  <si>
    <t>days</t>
  </si>
  <si>
    <t>Finishing Budget</t>
  </si>
  <si>
    <t>Overhead and Management</t>
  </si>
  <si>
    <r>
      <rPr>
        <b/>
        <sz val="10"/>
        <color theme="1"/>
        <rFont val="Arial"/>
        <family val="2"/>
      </rPr>
      <t>Oppor-</t>
    </r>
    <r>
      <rPr>
        <b/>
        <u/>
        <sz val="10"/>
        <color theme="1"/>
        <rFont val="Arial"/>
        <family val="2"/>
      </rPr>
      <t>tunity</t>
    </r>
  </si>
  <si>
    <t>Amount</t>
  </si>
  <si>
    <t>Total Animals Purchased</t>
  </si>
  <si>
    <t>Budget Inputs</t>
  </si>
  <si>
    <t>Depre-ciation</t>
  </si>
  <si>
    <r>
      <t xml:space="preserve">Fed Unit </t>
    </r>
    <r>
      <rPr>
        <sz val="10"/>
        <color theme="1"/>
        <rFont val="Arial"/>
        <family val="2"/>
      </rPr>
      <t>(tons, lbs. etc)</t>
    </r>
  </si>
  <si>
    <t>Breeding Flock</t>
  </si>
  <si>
    <r>
      <t xml:space="preserve">Purchased Unit </t>
    </r>
    <r>
      <rPr>
        <sz val="10"/>
        <color theme="1"/>
        <rFont val="Arial"/>
        <family val="2"/>
      </rPr>
      <t>(tons, lbs. etc)</t>
    </r>
  </si>
  <si>
    <t>AUM</t>
  </si>
  <si>
    <t>lb</t>
  </si>
  <si>
    <t>Alfalfa Hay</t>
  </si>
  <si>
    <t>all animals</t>
  </si>
  <si>
    <t>per animal</t>
  </si>
  <si>
    <t>Is this Cost Per Animal or for All Animals?</t>
  </si>
  <si>
    <t>Breeding Costs</t>
  </si>
  <si>
    <t>Amount per Year</t>
  </si>
  <si>
    <t>Per Animal or Total</t>
  </si>
  <si>
    <t>total</t>
  </si>
  <si>
    <t>Other Variables</t>
  </si>
  <si>
    <t>Yes</t>
  </si>
  <si>
    <t>No</t>
  </si>
  <si>
    <t>head @</t>
  </si>
  <si>
    <t>Net Expense</t>
  </si>
  <si>
    <t>Amount Fed per Year</t>
  </si>
  <si>
    <t>Animal Purchases</t>
  </si>
  <si>
    <t>Corn</t>
  </si>
  <si>
    <t>bu</t>
  </si>
  <si>
    <t>Supplies</t>
  </si>
  <si>
    <t>Mineral Mix</t>
  </si>
  <si>
    <t xml:space="preserve">Farm Replacement Budget </t>
  </si>
  <si>
    <t>Replacement Feed</t>
  </si>
  <si>
    <t>Total Costs</t>
  </si>
  <si>
    <t>(This entry will not be used if the above question is answered "No".)</t>
  </si>
  <si>
    <t>Native Pasture - Does</t>
  </si>
  <si>
    <t>month</t>
  </si>
  <si>
    <t>Native Pasture - Finish</t>
  </si>
  <si>
    <t>Native Pasture - Replacement</t>
  </si>
  <si>
    <t>Does</t>
  </si>
  <si>
    <t>Herd size</t>
  </si>
  <si>
    <t>Does Culled per Year</t>
  </si>
  <si>
    <t>Doe Deaths per year</t>
  </si>
  <si>
    <t>Are Replacement Does Purchasd?</t>
  </si>
  <si>
    <t>Replacement Doe Cost (if applicable)</t>
  </si>
  <si>
    <t>Cull Doe Sale Weight</t>
  </si>
  <si>
    <t>Cull Doe Sale Price</t>
  </si>
  <si>
    <t>Bucks Needed</t>
  </si>
  <si>
    <t>Buck Purchase Price</t>
  </si>
  <si>
    <t>Buck use (years)</t>
  </si>
  <si>
    <t>Buck Death Loss Rate</t>
  </si>
  <si>
    <t>Cull Buck Value</t>
  </si>
  <si>
    <t>Kids Weaned</t>
  </si>
  <si>
    <t>Kid Weaning Weight</t>
  </si>
  <si>
    <t>Weaning Kid Price</t>
  </si>
  <si>
    <t>Kid Finishing</t>
  </si>
  <si>
    <t>Finished Kids Sold</t>
  </si>
  <si>
    <t>Finished Kid Weight</t>
  </si>
  <si>
    <t>Finished Kid Price</t>
  </si>
  <si>
    <t>Buck(s)</t>
  </si>
  <si>
    <t>Bale</t>
  </si>
  <si>
    <t>Creep Feed</t>
  </si>
  <si>
    <t>Weaned Kid Marketing</t>
  </si>
  <si>
    <t>Finished Kid Marketing</t>
  </si>
  <si>
    <t>Cull Doe Marketing</t>
  </si>
  <si>
    <t>Cull Buck Marketing</t>
  </si>
  <si>
    <t>Vaccinations</t>
  </si>
  <si>
    <t xml:space="preserve">Farm Herd Budget </t>
  </si>
  <si>
    <t>Weaned Kid Value</t>
  </si>
  <si>
    <t>Cull Doe Sales</t>
  </si>
  <si>
    <t>Bucks</t>
  </si>
  <si>
    <t>Replacement Does Purchased</t>
  </si>
  <si>
    <t>Replacement Doe Feed</t>
  </si>
  <si>
    <t xml:space="preserve">Farm Buck Budget </t>
  </si>
  <si>
    <t>Cull Buck Sales</t>
  </si>
  <si>
    <t>Kid Sales</t>
  </si>
  <si>
    <t>Weaned Kids (Purchased)</t>
  </si>
  <si>
    <t>Combined Farm Herd and Kid Finishing</t>
  </si>
  <si>
    <t>Finished Kid Sales</t>
  </si>
  <si>
    <r>
      <t xml:space="preserve">Percent for Farm Herd </t>
    </r>
    <r>
      <rPr>
        <sz val="10"/>
        <color theme="1"/>
        <rFont val="Arial"/>
        <family val="2"/>
      </rPr>
      <t>(Optional)</t>
    </r>
  </si>
  <si>
    <t>Percent for Farm Herd</t>
  </si>
  <si>
    <t>Herd Total</t>
  </si>
  <si>
    <t>Per Doe</t>
  </si>
  <si>
    <t>Per Kid Sold</t>
  </si>
  <si>
    <t>Farm Herd Housing</t>
  </si>
  <si>
    <t xml:space="preserve"> Herd Total</t>
  </si>
  <si>
    <t>Feeder Kids</t>
  </si>
  <si>
    <t>Doe Feed</t>
  </si>
  <si>
    <t>Purchase weight</t>
  </si>
  <si>
    <t>$ / lb</t>
  </si>
  <si>
    <t>per lb</t>
  </si>
  <si>
    <t>Finishing equipment</t>
  </si>
  <si>
    <t>Farm Herd equipment</t>
  </si>
  <si>
    <t>Owned</t>
  </si>
  <si>
    <t>Native Pasture - Bucks</t>
  </si>
  <si>
    <t>Percent for Goats</t>
  </si>
  <si>
    <r>
      <t xml:space="preserve">Percent of Goats for Farm Herd </t>
    </r>
    <r>
      <rPr>
        <sz val="10"/>
        <color theme="1"/>
        <rFont val="Arial"/>
        <family val="2"/>
      </rPr>
      <t>(Optional)</t>
    </r>
  </si>
  <si>
    <t>(This amount is the "Net Expenses" from the "Bucks" tab)</t>
  </si>
  <si>
    <t>(From Replacement Tab)</t>
  </si>
  <si>
    <t xml:space="preserve"> (If "No", the kid crop will be reduced by the amount of does culled and died per year)</t>
  </si>
  <si>
    <t>Buck Feed</t>
  </si>
  <si>
    <t>Fixed Cash Costs</t>
  </si>
  <si>
    <t>Total Fixed Cash Costs</t>
  </si>
  <si>
    <t>Total Cash Costs</t>
  </si>
  <si>
    <t>Net Cash Income</t>
  </si>
  <si>
    <t>Real Estate</t>
  </si>
  <si>
    <t>Non-Cash Costs</t>
  </si>
  <si>
    <t>Total Non-Cash Costs</t>
  </si>
  <si>
    <t>Total Repairs</t>
  </si>
  <si>
    <t>Total Overhead and Management</t>
  </si>
  <si>
    <t>Weaned Kid Sales</t>
  </si>
  <si>
    <t>Weaned Kids Retained for Feeding</t>
  </si>
  <si>
    <t>Kids Purchased for Feeding</t>
  </si>
  <si>
    <t>Price for Purchased Kids</t>
  </si>
  <si>
    <t>Per Kid Produced</t>
  </si>
  <si>
    <t>Weaned Kids (Raised)</t>
  </si>
  <si>
    <t>Replacement Bucks</t>
  </si>
  <si>
    <t>Prairie Hay</t>
  </si>
</sst>
</file>

<file path=xl/styles.xml><?xml version="1.0" encoding="utf-8"?>
<styleSheet xmlns="http://schemas.openxmlformats.org/spreadsheetml/2006/main">
  <numFmts count="5">
    <numFmt numFmtId="43" formatCode="_(* #,##0.00_);_(* \(#,##0.00\);_(* &quot;-&quot;??_);_(@_)"/>
    <numFmt numFmtId="164" formatCode="_(* #,##0_);_(* \(#,##0\);_(* &quot;-&quot;??_);_(@_)"/>
    <numFmt numFmtId="165" formatCode="0.0"/>
    <numFmt numFmtId="166" formatCode="0.0000"/>
    <numFmt numFmtId="167" formatCode="0.00_);\(0.00\)"/>
  </numFmts>
  <fonts count="22">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b/>
      <sz val="12"/>
      <color theme="1"/>
      <name val="Arial"/>
      <family val="2"/>
    </font>
    <font>
      <sz val="14"/>
      <color theme="1"/>
      <name val="Arial"/>
      <family val="2"/>
    </font>
    <font>
      <b/>
      <sz val="12"/>
      <color theme="0"/>
      <name val="Arial"/>
      <family val="2"/>
    </font>
    <font>
      <sz val="14"/>
      <name val="Arial"/>
      <family val="2"/>
    </font>
    <font>
      <b/>
      <sz val="14"/>
      <color theme="0"/>
      <name val="Arial"/>
      <family val="2"/>
    </font>
    <font>
      <b/>
      <u/>
      <sz val="10"/>
      <color theme="1"/>
      <name val="Arial"/>
      <family val="2"/>
    </font>
    <font>
      <sz val="10"/>
      <name val="Arial"/>
      <family val="2"/>
    </font>
    <font>
      <u/>
      <sz val="10"/>
      <color theme="1"/>
      <name val="Arial"/>
      <family val="2"/>
    </font>
    <font>
      <sz val="24"/>
      <color theme="1"/>
      <name val="Arial"/>
      <family val="2"/>
    </font>
    <font>
      <sz val="10"/>
      <color theme="0" tint="-4.9989318521683403E-2"/>
      <name val="Arial"/>
      <family val="2"/>
    </font>
    <font>
      <b/>
      <sz val="10"/>
      <color theme="0" tint="-4.9989318521683403E-2"/>
      <name val="Arial"/>
      <family val="2"/>
    </font>
    <font>
      <sz val="9"/>
      <color theme="1"/>
      <name val="Arial"/>
      <family val="2"/>
    </font>
    <font>
      <sz val="10"/>
      <color theme="3" tint="0.39997558519241921"/>
      <name val="Arial"/>
      <family val="2"/>
    </font>
    <font>
      <sz val="10"/>
      <color theme="3" tint="0.59999389629810485"/>
      <name val="Arial"/>
      <family val="2"/>
    </font>
    <font>
      <b/>
      <sz val="10"/>
      <color theme="3" tint="0.59999389629810485"/>
      <name val="Arial"/>
      <family val="2"/>
    </font>
    <font>
      <sz val="10"/>
      <color theme="4" tint="0.39997558519241921"/>
      <name val="Arial"/>
      <family val="2"/>
    </font>
    <font>
      <b/>
      <sz val="10"/>
      <color rgb="FFFF0000"/>
      <name val="Arial"/>
      <family val="2"/>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3" tint="0.79998168889431442"/>
        <bgColor indexed="64"/>
      </patternFill>
    </fill>
    <fill>
      <patternFill patternType="solid">
        <fgColor theme="3" tint="0.59999389629810485"/>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theme="0"/>
      </left>
      <right/>
      <top style="medium">
        <color indexed="64"/>
      </top>
      <bottom style="medium">
        <color indexed="64"/>
      </bottom>
      <diagonal/>
    </border>
    <border>
      <left style="medium">
        <color indexed="64"/>
      </left>
      <right style="thin">
        <color theme="0"/>
      </right>
      <top style="medium">
        <color indexed="64"/>
      </top>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theme="0"/>
      </right>
      <top style="medium">
        <color indexed="64"/>
      </top>
      <bottom style="medium">
        <color indexed="64"/>
      </bottom>
      <diagonal/>
    </border>
    <border>
      <left style="thin">
        <color theme="0"/>
      </left>
      <right/>
      <top style="medium">
        <color indexed="64"/>
      </top>
      <bottom/>
      <diagonal/>
    </border>
    <border>
      <left style="thin">
        <color indexed="64"/>
      </left>
      <right style="thin">
        <color indexed="64"/>
      </right>
      <top/>
      <bottom style="medium">
        <color indexed="64"/>
      </bottom>
      <diagonal/>
    </border>
    <border>
      <left style="thin">
        <color rgb="FF00B0F0"/>
      </left>
      <right style="thin">
        <color rgb="FF00B0F0"/>
      </right>
      <top style="thin">
        <color rgb="FF00B0F0"/>
      </top>
      <bottom style="thin">
        <color rgb="FF00B0F0"/>
      </bottom>
      <diagonal/>
    </border>
    <border>
      <left style="thin">
        <color indexed="64"/>
      </left>
      <right/>
      <top/>
      <bottom style="thin">
        <color rgb="FF00B0F0"/>
      </bottom>
      <diagonal/>
    </border>
    <border>
      <left/>
      <right style="thin">
        <color indexed="64"/>
      </right>
      <top/>
      <bottom/>
      <diagonal/>
    </border>
    <border>
      <left/>
      <right style="thin">
        <color theme="0"/>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medium">
        <color indexed="64"/>
      </bottom>
      <diagonal/>
    </border>
    <border>
      <left style="thin">
        <color theme="0"/>
      </left>
      <right style="medium">
        <color indexed="64"/>
      </right>
      <top style="medium">
        <color indexed="64"/>
      </top>
      <bottom style="medium">
        <color indexed="64"/>
      </bottom>
      <diagonal/>
    </border>
    <border>
      <left style="thin">
        <color rgb="FF00B0F0"/>
      </left>
      <right/>
      <top/>
      <bottom/>
      <diagonal/>
    </border>
    <border>
      <left style="thin">
        <color theme="0"/>
      </left>
      <right style="medium">
        <color indexed="64"/>
      </right>
      <top style="medium">
        <color indexed="64"/>
      </top>
      <bottom/>
      <diagonal/>
    </border>
    <border>
      <left style="thin">
        <color indexed="64"/>
      </left>
      <right style="medium">
        <color indexed="64"/>
      </right>
      <top style="double">
        <color indexed="64"/>
      </top>
      <bottom/>
      <diagonal/>
    </border>
    <border>
      <left style="thin">
        <color rgb="FF00B0F0"/>
      </left>
      <right style="thin">
        <color rgb="FF00B0F0"/>
      </right>
      <top/>
      <bottom style="thin">
        <color rgb="FF00B0F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rgb="FF00B0F0"/>
      </right>
      <top style="thin">
        <color rgb="FF00B0F0"/>
      </top>
      <bottom style="thin">
        <color rgb="FF00B0F0"/>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thin">
        <color rgb="FF00B0F0"/>
      </top>
      <bottom style="thin">
        <color rgb="FF00B0F0"/>
      </bottom>
      <diagonal/>
    </border>
    <border>
      <left/>
      <right style="thin">
        <color rgb="FF00B0F0"/>
      </right>
      <top style="thin">
        <color rgb="FF00B0F0"/>
      </top>
      <bottom style="thin">
        <color rgb="FF00B0F0"/>
      </bottom>
      <diagonal/>
    </border>
    <border>
      <left/>
      <right style="thin">
        <color rgb="FF00B0F0"/>
      </right>
      <top/>
      <bottom style="thin">
        <color rgb="FF00B0F0"/>
      </bottom>
      <diagonal/>
    </border>
    <border>
      <left/>
      <right/>
      <top style="thin">
        <color rgb="FF00B0F0"/>
      </top>
      <bottom/>
      <diagonal/>
    </border>
    <border>
      <left style="medium">
        <color indexed="64"/>
      </left>
      <right style="thin">
        <color indexed="64"/>
      </right>
      <top style="thin">
        <color rgb="FF00B0F0"/>
      </top>
      <bottom/>
      <diagonal/>
    </border>
    <border>
      <left/>
      <right/>
      <top/>
      <bottom style="thin">
        <color rgb="FF00B0F0"/>
      </bottom>
      <diagonal/>
    </border>
    <border>
      <left style="medium">
        <color indexed="64"/>
      </left>
      <right style="thin">
        <color indexed="64"/>
      </right>
      <top style="thin">
        <color rgb="FF00B0F0"/>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12">
    <xf numFmtId="0" fontId="0" fillId="0" borderId="0" xfId="0"/>
    <xf numFmtId="0" fontId="0" fillId="4" borderId="1" xfId="0" applyFill="1" applyBorder="1" applyAlignment="1" applyProtection="1">
      <alignment horizontal="center"/>
      <protection locked="0"/>
    </xf>
    <xf numFmtId="9" fontId="0" fillId="4" borderId="1" xfId="2" applyFont="1" applyFill="1" applyBorder="1" applyAlignment="1" applyProtection="1">
      <alignment horizontal="center"/>
      <protection locked="0"/>
    </xf>
    <xf numFmtId="0" fontId="0" fillId="4" borderId="20" xfId="0" applyFill="1" applyBorder="1" applyAlignment="1" applyProtection="1">
      <alignment horizontal="center"/>
      <protection locked="0"/>
    </xf>
    <xf numFmtId="0" fontId="11" fillId="4" borderId="18" xfId="0" applyFont="1" applyFill="1" applyBorder="1" applyProtection="1">
      <protection locked="0"/>
    </xf>
    <xf numFmtId="2" fontId="0" fillId="4" borderId="3" xfId="0" applyNumberFormat="1" applyFill="1" applyBorder="1" applyProtection="1">
      <protection locked="0"/>
    </xf>
    <xf numFmtId="0" fontId="0" fillId="4" borderId="3" xfId="0" applyFill="1" applyBorder="1" applyProtection="1">
      <protection locked="0"/>
    </xf>
    <xf numFmtId="0" fontId="11" fillId="4" borderId="14" xfId="0" applyFont="1" applyFill="1" applyBorder="1" applyProtection="1">
      <protection locked="0"/>
    </xf>
    <xf numFmtId="2" fontId="0" fillId="4" borderId="1" xfId="0" applyNumberFormat="1" applyFill="1" applyBorder="1" applyProtection="1">
      <protection locked="0"/>
    </xf>
    <xf numFmtId="0" fontId="0" fillId="4" borderId="1" xfId="0" applyFill="1" applyBorder="1" applyProtection="1">
      <protection locked="0"/>
    </xf>
    <xf numFmtId="0" fontId="11" fillId="4" borderId="15" xfId="0" applyFont="1" applyFill="1" applyBorder="1" applyProtection="1">
      <protection locked="0"/>
    </xf>
    <xf numFmtId="2" fontId="0" fillId="4" borderId="20" xfId="0" applyNumberFormat="1" applyFill="1" applyBorder="1" applyProtection="1">
      <protection locked="0"/>
    </xf>
    <xf numFmtId="9" fontId="0" fillId="4" borderId="16" xfId="2" applyFont="1" applyFill="1" applyBorder="1" applyAlignment="1" applyProtection="1">
      <alignment horizontal="center"/>
      <protection locked="0"/>
    </xf>
    <xf numFmtId="164" fontId="0" fillId="4" borderId="1" xfId="1" applyNumberFormat="1" applyFont="1" applyFill="1" applyBorder="1" applyProtection="1">
      <protection locked="0"/>
    </xf>
    <xf numFmtId="9" fontId="0" fillId="4" borderId="3" xfId="2" applyFont="1" applyFill="1" applyBorder="1" applyProtection="1">
      <protection locked="0"/>
    </xf>
    <xf numFmtId="9" fontId="0" fillId="4" borderId="1" xfId="2" applyFont="1" applyFill="1" applyBorder="1" applyProtection="1">
      <protection locked="0"/>
    </xf>
    <xf numFmtId="164" fontId="0" fillId="4" borderId="5" xfId="1" applyNumberFormat="1" applyFont="1" applyFill="1" applyBorder="1" applyProtection="1">
      <protection locked="0"/>
    </xf>
    <xf numFmtId="164" fontId="0" fillId="4" borderId="31" xfId="1" applyNumberFormat="1" applyFont="1" applyFill="1" applyBorder="1" applyProtection="1">
      <protection locked="0"/>
    </xf>
    <xf numFmtId="164" fontId="0" fillId="4" borderId="3" xfId="1" applyNumberFormat="1" applyFont="1" applyFill="1" applyBorder="1" applyProtection="1">
      <protection locked="0"/>
    </xf>
    <xf numFmtId="164" fontId="0" fillId="4" borderId="20" xfId="1" applyNumberFormat="1" applyFont="1" applyFill="1" applyBorder="1" applyProtection="1">
      <protection locked="0"/>
    </xf>
    <xf numFmtId="0" fontId="0" fillId="3" borderId="38" xfId="0" applyFill="1" applyBorder="1"/>
    <xf numFmtId="9" fontId="0" fillId="4" borderId="17" xfId="2" applyFont="1" applyFill="1" applyBorder="1" applyAlignment="1" applyProtection="1">
      <alignment horizontal="center"/>
      <protection locked="0"/>
    </xf>
    <xf numFmtId="2" fontId="0" fillId="4" borderId="26" xfId="0" applyNumberFormat="1" applyFill="1" applyBorder="1" applyProtection="1">
      <protection locked="0"/>
    </xf>
    <xf numFmtId="2" fontId="0" fillId="4" borderId="4" xfId="0" applyNumberFormat="1" applyFill="1" applyBorder="1" applyProtection="1">
      <protection locked="0"/>
    </xf>
    <xf numFmtId="0" fontId="9" fillId="2" borderId="6" xfId="0" applyFont="1" applyFill="1" applyBorder="1" applyProtection="1"/>
    <xf numFmtId="0" fontId="0" fillId="3" borderId="0" xfId="0" applyFill="1" applyProtection="1"/>
    <xf numFmtId="0" fontId="0" fillId="3" borderId="0" xfId="0" applyFill="1" applyBorder="1" applyProtection="1"/>
    <xf numFmtId="0" fontId="0" fillId="0" borderId="0" xfId="0" applyProtection="1"/>
    <xf numFmtId="0" fontId="0" fillId="3" borderId="0" xfId="0" applyFill="1" applyBorder="1" applyAlignment="1" applyProtection="1">
      <alignment horizontal="left"/>
    </xf>
    <xf numFmtId="0" fontId="0" fillId="0" borderId="10" xfId="0" applyFill="1" applyBorder="1" applyProtection="1"/>
    <xf numFmtId="0" fontId="0" fillId="3" borderId="9" xfId="0" applyFill="1" applyBorder="1" applyProtection="1"/>
    <xf numFmtId="0" fontId="0" fillId="3" borderId="12" xfId="0" applyFill="1" applyBorder="1" applyAlignment="1" applyProtection="1">
      <alignment horizontal="left"/>
    </xf>
    <xf numFmtId="0" fontId="0" fillId="0" borderId="13" xfId="0" applyFill="1" applyBorder="1" applyProtection="1"/>
    <xf numFmtId="0" fontId="0" fillId="2" borderId="7" xfId="0" applyFill="1" applyBorder="1" applyProtection="1"/>
    <xf numFmtId="0" fontId="0" fillId="2" borderId="8" xfId="0" applyFill="1" applyBorder="1" applyProtection="1"/>
    <xf numFmtId="0" fontId="0" fillId="3" borderId="10" xfId="0" applyFill="1" applyBorder="1" applyProtection="1"/>
    <xf numFmtId="0" fontId="0" fillId="3" borderId="13" xfId="0" applyFill="1" applyBorder="1" applyProtection="1"/>
    <xf numFmtId="0" fontId="3" fillId="3" borderId="28" xfId="0" applyFont="1" applyFill="1" applyBorder="1" applyAlignment="1" applyProtection="1">
      <alignment wrapText="1"/>
    </xf>
    <xf numFmtId="0" fontId="3" fillId="3" borderId="29" xfId="0" applyFont="1" applyFill="1" applyBorder="1" applyAlignment="1" applyProtection="1">
      <alignment horizontal="center" wrapText="1"/>
    </xf>
    <xf numFmtId="0" fontId="3" fillId="3" borderId="30" xfId="0" applyFont="1" applyFill="1" applyBorder="1" applyAlignment="1" applyProtection="1">
      <alignment horizontal="center" wrapText="1"/>
    </xf>
    <xf numFmtId="0" fontId="3" fillId="3" borderId="0" xfId="0" applyFont="1" applyFill="1" applyBorder="1" applyAlignment="1" applyProtection="1">
      <alignment horizontal="center" wrapText="1"/>
    </xf>
    <xf numFmtId="0" fontId="0" fillId="3" borderId="39" xfId="0" applyFill="1" applyBorder="1" applyProtection="1"/>
    <xf numFmtId="9" fontId="0" fillId="0" borderId="19" xfId="2" applyFont="1" applyFill="1" applyBorder="1" applyProtection="1"/>
    <xf numFmtId="2" fontId="0" fillId="3" borderId="0" xfId="0" applyNumberFormat="1" applyFill="1" applyBorder="1" applyProtection="1"/>
    <xf numFmtId="9" fontId="0" fillId="0" borderId="1" xfId="2" applyFont="1" applyFill="1" applyBorder="1" applyProtection="1"/>
    <xf numFmtId="9" fontId="0" fillId="0" borderId="37" xfId="2" applyFont="1" applyFill="1" applyBorder="1" applyProtection="1"/>
    <xf numFmtId="0" fontId="9" fillId="2" borderId="32" xfId="0" applyFont="1" applyFill="1" applyBorder="1" applyProtection="1"/>
    <xf numFmtId="0" fontId="0" fillId="2" borderId="34" xfId="0" applyFill="1" applyBorder="1" applyProtection="1"/>
    <xf numFmtId="0" fontId="0" fillId="2" borderId="35" xfId="0" applyFill="1" applyBorder="1" applyProtection="1"/>
    <xf numFmtId="0" fontId="3" fillId="3" borderId="36" xfId="0" applyFont="1" applyFill="1" applyBorder="1" applyAlignment="1" applyProtection="1">
      <alignment horizontal="center" wrapText="1"/>
    </xf>
    <xf numFmtId="0" fontId="11" fillId="3" borderId="39" xfId="0" applyFont="1" applyFill="1" applyBorder="1" applyProtection="1"/>
    <xf numFmtId="0" fontId="11" fillId="3" borderId="18" xfId="0" applyFont="1" applyFill="1" applyBorder="1" applyProtection="1"/>
    <xf numFmtId="0" fontId="9" fillId="2" borderId="23" xfId="0" applyFont="1" applyFill="1" applyBorder="1" applyProtection="1"/>
    <xf numFmtId="0" fontId="0" fillId="2" borderId="24" xfId="0" applyFill="1" applyBorder="1" applyProtection="1"/>
    <xf numFmtId="0" fontId="0" fillId="2" borderId="25" xfId="0" applyFill="1" applyBorder="1" applyProtection="1"/>
    <xf numFmtId="164" fontId="0" fillId="4" borderId="26" xfId="1" applyNumberFormat="1" applyFont="1" applyFill="1" applyBorder="1" applyProtection="1">
      <protection locked="0"/>
    </xf>
    <xf numFmtId="164" fontId="0" fillId="4" borderId="4" xfId="1" applyNumberFormat="1" applyFont="1" applyFill="1" applyBorder="1" applyProtection="1">
      <protection locked="0"/>
    </xf>
    <xf numFmtId="0" fontId="2" fillId="2" borderId="24" xfId="0" applyFont="1" applyFill="1" applyBorder="1" applyAlignment="1">
      <alignment horizontal="right"/>
    </xf>
    <xf numFmtId="0" fontId="0" fillId="3" borderId="0" xfId="0" applyFill="1"/>
    <xf numFmtId="0" fontId="6" fillId="3" borderId="0" xfId="0" applyFont="1" applyFill="1"/>
    <xf numFmtId="0" fontId="0" fillId="3" borderId="0" xfId="0" applyFill="1" applyBorder="1"/>
    <xf numFmtId="0" fontId="3" fillId="3" borderId="0" xfId="0" applyFont="1" applyFill="1" applyBorder="1" applyAlignment="1">
      <alignment horizontal="right"/>
    </xf>
    <xf numFmtId="0" fontId="3" fillId="3" borderId="0" xfId="0" applyFont="1" applyFill="1" applyBorder="1"/>
    <xf numFmtId="0" fontId="0" fillId="3" borderId="9" xfId="0" applyFont="1" applyFill="1" applyBorder="1"/>
    <xf numFmtId="2" fontId="3" fillId="3" borderId="0" xfId="0" applyNumberFormat="1" applyFont="1" applyFill="1" applyBorder="1" applyAlignment="1">
      <alignment horizontal="right"/>
    </xf>
    <xf numFmtId="43" fontId="3" fillId="3" borderId="0" xfId="1" applyFont="1" applyFill="1" applyBorder="1" applyAlignment="1">
      <alignment horizontal="right"/>
    </xf>
    <xf numFmtId="0" fontId="0" fillId="3" borderId="40" xfId="0" applyFill="1" applyBorder="1"/>
    <xf numFmtId="0" fontId="3" fillId="3" borderId="40" xfId="0" applyFont="1" applyFill="1" applyBorder="1" applyAlignment="1">
      <alignment horizontal="right"/>
    </xf>
    <xf numFmtId="43" fontId="0" fillId="3" borderId="40" xfId="1" applyFont="1" applyFill="1" applyBorder="1"/>
    <xf numFmtId="0" fontId="0" fillId="3" borderId="21" xfId="0" applyFill="1" applyBorder="1"/>
    <xf numFmtId="0" fontId="7" fillId="2" borderId="43" xfId="0" applyFont="1" applyFill="1" applyBorder="1"/>
    <xf numFmtId="0" fontId="10" fillId="3" borderId="35" xfId="0" applyFont="1" applyFill="1" applyBorder="1" applyAlignment="1">
      <alignment horizontal="right"/>
    </xf>
    <xf numFmtId="2" fontId="0" fillId="0" borderId="19" xfId="0" applyNumberFormat="1" applyFill="1" applyBorder="1" applyProtection="1"/>
    <xf numFmtId="0" fontId="2" fillId="2" borderId="24" xfId="0" applyFont="1" applyFill="1" applyBorder="1"/>
    <xf numFmtId="0" fontId="10" fillId="3" borderId="0" xfId="0" applyFont="1" applyFill="1" applyBorder="1" applyAlignment="1">
      <alignment horizontal="right"/>
    </xf>
    <xf numFmtId="164" fontId="0" fillId="3" borderId="44" xfId="1" applyNumberFormat="1" applyFont="1" applyFill="1" applyBorder="1"/>
    <xf numFmtId="0" fontId="0" fillId="0" borderId="0" xfId="0"/>
    <xf numFmtId="0" fontId="7" fillId="2" borderId="23" xfId="0" applyFont="1" applyFill="1" applyBorder="1"/>
    <xf numFmtId="0" fontId="4" fillId="2" borderId="24" xfId="0" applyFont="1" applyFill="1" applyBorder="1"/>
    <xf numFmtId="0" fontId="0" fillId="3" borderId="0" xfId="0" applyFill="1"/>
    <xf numFmtId="0" fontId="6" fillId="3" borderId="0" xfId="0" applyFont="1" applyFill="1"/>
    <xf numFmtId="0" fontId="0" fillId="3" borderId="7" xfId="0" applyFill="1" applyBorder="1"/>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10" xfId="0" applyNumberFormat="1" applyFont="1" applyFill="1" applyBorder="1"/>
    <xf numFmtId="2" fontId="0" fillId="3" borderId="0" xfId="0" applyNumberFormat="1" applyFill="1" applyBorder="1"/>
    <xf numFmtId="0" fontId="0" fillId="3" borderId="11" xfId="0" applyFill="1" applyBorder="1"/>
    <xf numFmtId="0" fontId="0" fillId="3" borderId="12" xfId="0" applyFill="1" applyBorder="1"/>
    <xf numFmtId="0" fontId="0" fillId="3" borderId="0" xfId="0" applyFill="1" applyAlignment="1">
      <alignment horizontal="right"/>
    </xf>
    <xf numFmtId="0" fontId="0" fillId="3" borderId="10" xfId="0" applyFill="1" applyBorder="1"/>
    <xf numFmtId="0" fontId="3" fillId="3" borderId="9" xfId="0" applyFont="1" applyFill="1" applyBorder="1"/>
    <xf numFmtId="0" fontId="3" fillId="3" borderId="0" xfId="0" applyFont="1" applyFill="1" applyBorder="1" applyAlignment="1">
      <alignment wrapText="1"/>
    </xf>
    <xf numFmtId="164" fontId="0" fillId="3" borderId="0" xfId="1" applyNumberFormat="1" applyFont="1" applyFill="1" applyBorder="1"/>
    <xf numFmtId="43" fontId="0" fillId="3" borderId="0" xfId="1" applyFont="1" applyFill="1" applyBorder="1"/>
    <xf numFmtId="43" fontId="0" fillId="3" borderId="1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43" fontId="3" fillId="3" borderId="13" xfId="1" applyFont="1" applyFill="1" applyBorder="1"/>
    <xf numFmtId="43" fontId="3" fillId="3" borderId="0" xfId="1" applyFont="1" applyFill="1" applyBorder="1"/>
    <xf numFmtId="0" fontId="0" fillId="2" borderId="24" xfId="0" applyFill="1" applyBorder="1"/>
    <xf numFmtId="0" fontId="0" fillId="0" borderId="0" xfId="0" applyFill="1" applyBorder="1"/>
    <xf numFmtId="0" fontId="6" fillId="0" borderId="0" xfId="0" applyFont="1" applyFill="1"/>
    <xf numFmtId="0" fontId="0" fillId="0" borderId="0" xfId="0" applyFill="1" applyAlignment="1">
      <alignment horizontal="right"/>
    </xf>
    <xf numFmtId="0" fontId="0" fillId="0" borderId="11" xfId="0" applyFill="1" applyBorder="1"/>
    <xf numFmtId="0" fontId="7" fillId="2" borderId="47" xfId="0" applyFont="1" applyFill="1" applyBorder="1"/>
    <xf numFmtId="0" fontId="3" fillId="2" borderId="24" xfId="0" applyFont="1" applyFill="1" applyBorder="1"/>
    <xf numFmtId="0" fontId="0" fillId="0" borderId="0" xfId="0" applyBorder="1"/>
    <xf numFmtId="0" fontId="10" fillId="3" borderId="7" xfId="0" applyFont="1" applyFill="1" applyBorder="1" applyAlignment="1">
      <alignment horizontal="right"/>
    </xf>
    <xf numFmtId="0" fontId="10" fillId="3" borderId="8" xfId="0" applyFont="1" applyFill="1" applyBorder="1" applyAlignment="1">
      <alignment horizontal="right"/>
    </xf>
    <xf numFmtId="0" fontId="0" fillId="3" borderId="6" xfId="0" applyFill="1" applyBorder="1"/>
    <xf numFmtId="0" fontId="10" fillId="3" borderId="34" xfId="0" applyFont="1" applyFill="1" applyBorder="1" applyAlignment="1">
      <alignment horizontal="right"/>
    </xf>
    <xf numFmtId="1" fontId="0" fillId="3" borderId="40" xfId="0" applyNumberFormat="1" applyFill="1" applyBorder="1"/>
    <xf numFmtId="165" fontId="0" fillId="3" borderId="40" xfId="0" applyNumberFormat="1" applyFill="1" applyBorder="1"/>
    <xf numFmtId="0" fontId="10" fillId="3" borderId="40" xfId="0" applyFont="1" applyFill="1" applyBorder="1" applyAlignment="1">
      <alignment horizontal="right"/>
    </xf>
    <xf numFmtId="164" fontId="0" fillId="3" borderId="40" xfId="1" applyNumberFormat="1" applyFont="1" applyFill="1" applyBorder="1"/>
    <xf numFmtId="0" fontId="10" fillId="3" borderId="6" xfId="0" applyFont="1" applyFill="1" applyBorder="1"/>
    <xf numFmtId="0" fontId="10" fillId="3" borderId="9" xfId="0" applyFont="1" applyFill="1" applyBorder="1"/>
    <xf numFmtId="9" fontId="0" fillId="4" borderId="20" xfId="2" applyFont="1" applyFill="1" applyBorder="1" applyProtection="1">
      <protection locked="0"/>
    </xf>
    <xf numFmtId="9" fontId="0" fillId="3" borderId="0" xfId="2" applyFont="1" applyFill="1" applyBorder="1"/>
    <xf numFmtId="0" fontId="0" fillId="3" borderId="52" xfId="0" applyFill="1" applyBorder="1"/>
    <xf numFmtId="0" fontId="10" fillId="3" borderId="52" xfId="0" applyFont="1" applyFill="1" applyBorder="1" applyAlignment="1">
      <alignment horizontal="right"/>
    </xf>
    <xf numFmtId="0" fontId="0" fillId="4" borderId="3" xfId="0" applyFill="1" applyBorder="1" applyAlignment="1" applyProtection="1">
      <alignment horizontal="center"/>
      <protection locked="0"/>
    </xf>
    <xf numFmtId="9" fontId="0" fillId="4" borderId="20" xfId="2" applyFont="1" applyFill="1" applyBorder="1" applyAlignment="1" applyProtection="1">
      <alignment horizontal="center"/>
      <protection locked="0"/>
    </xf>
    <xf numFmtId="164" fontId="0" fillId="4" borderId="22" xfId="1" applyNumberFormat="1" applyFont="1" applyFill="1" applyBorder="1" applyProtection="1">
      <protection locked="0"/>
    </xf>
    <xf numFmtId="9" fontId="0" fillId="3" borderId="10" xfId="2" applyFont="1" applyFill="1" applyBorder="1" applyAlignment="1" applyProtection="1">
      <alignment horizontal="center"/>
    </xf>
    <xf numFmtId="0" fontId="0" fillId="3" borderId="12" xfId="0" applyFill="1" applyBorder="1" applyProtection="1"/>
    <xf numFmtId="9" fontId="0" fillId="3" borderId="13" xfId="2" applyFont="1" applyFill="1" applyBorder="1" applyAlignment="1" applyProtection="1">
      <alignment horizontal="center"/>
    </xf>
    <xf numFmtId="0" fontId="10" fillId="3" borderId="0" xfId="0" applyFont="1" applyFill="1" applyBorder="1" applyAlignment="1">
      <alignment wrapText="1"/>
    </xf>
    <xf numFmtId="9" fontId="0" fillId="3" borderId="0" xfId="2" applyFont="1" applyFill="1" applyBorder="1" applyAlignment="1">
      <alignment wrapText="1"/>
    </xf>
    <xf numFmtId="2" fontId="0" fillId="3" borderId="38" xfId="0" applyNumberFormat="1" applyFill="1" applyBorder="1"/>
    <xf numFmtId="2" fontId="2" fillId="2" borderId="42" xfId="0" applyNumberFormat="1" applyFont="1" applyFill="1" applyBorder="1" applyAlignment="1">
      <alignment horizontal="right"/>
    </xf>
    <xf numFmtId="43" fontId="0" fillId="3" borderId="0" xfId="1" applyNumberFormat="1" applyFont="1" applyFill="1" applyBorder="1"/>
    <xf numFmtId="0" fontId="0" fillId="0" borderId="12" xfId="0" applyBorder="1"/>
    <xf numFmtId="0" fontId="0" fillId="3" borderId="35" xfId="0" applyFill="1" applyBorder="1"/>
    <xf numFmtId="0" fontId="3" fillId="3" borderId="7" xfId="0" applyFont="1" applyFill="1" applyBorder="1" applyAlignment="1">
      <alignment horizontal="center" wrapText="1"/>
    </xf>
    <xf numFmtId="0" fontId="10" fillId="3" borderId="33" xfId="0" applyFont="1" applyFill="1" applyBorder="1" applyAlignment="1">
      <alignment horizontal="right"/>
    </xf>
    <xf numFmtId="43" fontId="3" fillId="3" borderId="10" xfId="1" applyNumberFormat="1" applyFont="1" applyFill="1" applyBorder="1" applyAlignment="1">
      <alignment horizontal="right"/>
    </xf>
    <xf numFmtId="0" fontId="6" fillId="3" borderId="0" xfId="0" applyFont="1" applyFill="1" applyAlignment="1">
      <alignment horizontal="right"/>
    </xf>
    <xf numFmtId="43" fontId="0" fillId="3" borderId="45" xfId="1" applyNumberFormat="1" applyFont="1" applyFill="1" applyBorder="1"/>
    <xf numFmtId="0" fontId="10" fillId="3" borderId="10" xfId="0" applyFont="1" applyFill="1" applyBorder="1" applyAlignment="1">
      <alignment horizontal="right"/>
    </xf>
    <xf numFmtId="0" fontId="10" fillId="3" borderId="0" xfId="0" applyFont="1" applyFill="1" applyBorder="1" applyAlignment="1">
      <alignment horizontal="right" wrapText="1"/>
    </xf>
    <xf numFmtId="164" fontId="3" fillId="3" borderId="0" xfId="0" applyNumberFormat="1" applyFont="1" applyFill="1" applyBorder="1" applyAlignment="1">
      <alignment horizontal="left"/>
    </xf>
    <xf numFmtId="9" fontId="0" fillId="3" borderId="0" xfId="2" applyFont="1" applyFill="1" applyBorder="1" applyAlignment="1" applyProtection="1">
      <alignment horizontal="center"/>
    </xf>
    <xf numFmtId="164" fontId="0" fillId="4" borderId="54" xfId="1" applyNumberFormat="1" applyFont="1" applyFill="1" applyBorder="1" applyProtection="1">
      <protection locked="0"/>
    </xf>
    <xf numFmtId="43" fontId="10" fillId="3" borderId="8" xfId="1" applyFont="1" applyFill="1" applyBorder="1" applyAlignment="1">
      <alignment horizontal="right"/>
    </xf>
    <xf numFmtId="43" fontId="0" fillId="3" borderId="10" xfId="1" applyNumberFormat="1" applyFont="1" applyFill="1" applyBorder="1"/>
    <xf numFmtId="43" fontId="1" fillId="3" borderId="10" xfId="1" applyNumberFormat="1" applyFont="1" applyFill="1" applyBorder="1"/>
    <xf numFmtId="43" fontId="0" fillId="3" borderId="10" xfId="0" applyNumberFormat="1" applyFill="1" applyBorder="1"/>
    <xf numFmtId="43" fontId="3" fillId="3" borderId="10" xfId="1" applyNumberFormat="1" applyFont="1" applyFill="1" applyBorder="1"/>
    <xf numFmtId="43" fontId="3" fillId="3" borderId="0" xfId="1" applyNumberFormat="1" applyFont="1" applyFill="1" applyBorder="1"/>
    <xf numFmtId="43" fontId="3" fillId="3" borderId="13" xfId="1" applyNumberFormat="1" applyFont="1" applyFill="1" applyBorder="1" applyAlignment="1">
      <alignment horizontal="right"/>
    </xf>
    <xf numFmtId="164" fontId="0" fillId="3" borderId="52" xfId="1" applyNumberFormat="1" applyFont="1" applyFill="1" applyBorder="1"/>
    <xf numFmtId="164" fontId="1" fillId="3" borderId="52" xfId="1" applyNumberFormat="1" applyFont="1" applyFill="1" applyBorder="1"/>
    <xf numFmtId="164" fontId="3" fillId="3" borderId="52" xfId="1" applyNumberFormat="1" applyFont="1" applyFill="1" applyBorder="1" applyAlignment="1">
      <alignment horizontal="right"/>
    </xf>
    <xf numFmtId="43" fontId="0" fillId="3" borderId="52" xfId="1" applyFont="1" applyFill="1" applyBorder="1"/>
    <xf numFmtId="164" fontId="3" fillId="3" borderId="55" xfId="1" applyNumberFormat="1" applyFont="1" applyFill="1" applyBorder="1" applyAlignment="1">
      <alignment horizontal="right"/>
    </xf>
    <xf numFmtId="0" fontId="0" fillId="3" borderId="40" xfId="0" applyFont="1" applyFill="1" applyBorder="1"/>
    <xf numFmtId="0" fontId="0" fillId="2" borderId="42" xfId="0" applyFill="1" applyBorder="1"/>
    <xf numFmtId="164" fontId="2" fillId="2" borderId="53" xfId="1" applyNumberFormat="1" applyFont="1" applyFill="1" applyBorder="1" applyAlignment="1">
      <alignment horizontal="right"/>
    </xf>
    <xf numFmtId="0" fontId="0" fillId="2" borderId="23" xfId="0" applyFill="1" applyBorder="1"/>
    <xf numFmtId="43" fontId="2" fillId="2" borderId="25" xfId="1" applyNumberFormat="1" applyFont="1" applyFill="1" applyBorder="1" applyAlignment="1">
      <alignment horizontal="right"/>
    </xf>
    <xf numFmtId="43" fontId="0" fillId="2" borderId="23" xfId="0" applyNumberFormat="1" applyFill="1" applyBorder="1"/>
    <xf numFmtId="0" fontId="2" fillId="2" borderId="48" xfId="0" applyFont="1" applyFill="1" applyBorder="1" applyAlignment="1">
      <alignment horizontal="center"/>
    </xf>
    <xf numFmtId="43" fontId="0" fillId="3" borderId="0" xfId="1" applyFont="1" applyFill="1"/>
    <xf numFmtId="0" fontId="6" fillId="3" borderId="12" xfId="0" applyFont="1" applyFill="1" applyBorder="1" applyAlignment="1"/>
    <xf numFmtId="0" fontId="3" fillId="3" borderId="0" xfId="0" applyFont="1" applyFill="1" applyAlignment="1" applyProtection="1">
      <alignment wrapText="1"/>
    </xf>
    <xf numFmtId="0" fontId="8" fillId="3" borderId="0" xfId="0" applyFont="1" applyFill="1" applyBorder="1" applyAlignment="1" applyProtection="1"/>
    <xf numFmtId="0" fontId="3" fillId="3" borderId="35" xfId="0" applyFont="1" applyFill="1" applyBorder="1" applyAlignment="1">
      <alignment horizontal="right" wrapText="1"/>
    </xf>
    <xf numFmtId="0" fontId="3" fillId="3" borderId="7" xfId="0" applyFont="1" applyFill="1" applyBorder="1" applyAlignment="1">
      <alignment horizontal="right" wrapText="1"/>
    </xf>
    <xf numFmtId="2" fontId="2" fillId="2" borderId="56" xfId="0" applyNumberFormat="1" applyFont="1" applyFill="1" applyBorder="1" applyAlignment="1">
      <alignment horizontal="right"/>
    </xf>
    <xf numFmtId="0" fontId="0" fillId="3" borderId="0" xfId="0" applyFill="1" applyBorder="1" applyAlignment="1" applyProtection="1">
      <alignment horizontal="left"/>
    </xf>
    <xf numFmtId="0" fontId="0" fillId="4" borderId="2" xfId="0" applyFill="1" applyBorder="1" applyAlignment="1" applyProtection="1">
      <alignment horizontal="center"/>
      <protection locked="0"/>
    </xf>
    <xf numFmtId="0" fontId="13" fillId="3" borderId="0" xfId="0" applyFont="1" applyFill="1" applyProtection="1"/>
    <xf numFmtId="0" fontId="2" fillId="2" borderId="48" xfId="0" applyFont="1" applyFill="1" applyBorder="1" applyAlignment="1">
      <alignment horizontal="center" wrapText="1"/>
    </xf>
    <xf numFmtId="0" fontId="0" fillId="3" borderId="0" xfId="0" applyFill="1" applyBorder="1" applyAlignment="1" applyProtection="1">
      <alignment horizontal="left"/>
    </xf>
    <xf numFmtId="0" fontId="3" fillId="3" borderId="0" xfId="0" applyFont="1" applyFill="1" applyBorder="1" applyAlignment="1">
      <alignment horizontal="center" wrapText="1"/>
    </xf>
    <xf numFmtId="0" fontId="2" fillId="2" borderId="42" xfId="0" applyFont="1" applyFill="1" applyBorder="1" applyAlignment="1"/>
    <xf numFmtId="0" fontId="2" fillId="2" borderId="24" xfId="0" applyFont="1" applyFill="1" applyBorder="1" applyAlignment="1"/>
    <xf numFmtId="164" fontId="0" fillId="3" borderId="38" xfId="1" applyNumberFormat="1" applyFont="1" applyFill="1" applyBorder="1"/>
    <xf numFmtId="164" fontId="2" fillId="2" borderId="42" xfId="1" applyNumberFormat="1" applyFont="1" applyFill="1" applyBorder="1" applyAlignment="1">
      <alignment horizontal="right"/>
    </xf>
    <xf numFmtId="164" fontId="0" fillId="3" borderId="0" xfId="1" applyNumberFormat="1" applyFont="1" applyFill="1"/>
    <xf numFmtId="164" fontId="0" fillId="3" borderId="46" xfId="1" applyNumberFormat="1" applyFont="1" applyFill="1" applyBorder="1"/>
    <xf numFmtId="164" fontId="3" fillId="3" borderId="0" xfId="1" applyNumberFormat="1" applyFont="1" applyFill="1" applyBorder="1" applyAlignment="1">
      <alignment horizontal="right"/>
    </xf>
    <xf numFmtId="164" fontId="10" fillId="3" borderId="35" xfId="1" applyNumberFormat="1" applyFont="1" applyFill="1" applyBorder="1" applyAlignment="1">
      <alignment horizontal="right"/>
    </xf>
    <xf numFmtId="0" fontId="0" fillId="3" borderId="40" xfId="0" applyFont="1" applyFill="1" applyBorder="1" applyAlignment="1">
      <alignment horizontal="right"/>
    </xf>
    <xf numFmtId="0" fontId="0" fillId="3" borderId="0" xfId="0" applyFont="1" applyFill="1" applyBorder="1" applyAlignment="1">
      <alignment horizontal="right"/>
    </xf>
    <xf numFmtId="165" fontId="0" fillId="3" borderId="0" xfId="0" applyNumberFormat="1" applyFill="1" applyBorder="1"/>
    <xf numFmtId="0" fontId="2" fillId="2" borderId="58" xfId="0" applyFont="1" applyFill="1" applyBorder="1" applyAlignment="1">
      <alignment horizontal="center" wrapText="1"/>
    </xf>
    <xf numFmtId="164" fontId="10" fillId="3" borderId="33" xfId="1" applyNumberFormat="1" applyFont="1" applyFill="1" applyBorder="1" applyAlignment="1">
      <alignment horizontal="right"/>
    </xf>
    <xf numFmtId="164" fontId="0" fillId="3" borderId="41" xfId="1" applyNumberFormat="1" applyFont="1" applyFill="1" applyBorder="1"/>
    <xf numFmtId="164" fontId="10" fillId="3" borderId="41" xfId="1" applyNumberFormat="1" applyFont="1" applyFill="1" applyBorder="1" applyAlignment="1">
      <alignment horizontal="right"/>
    </xf>
    <xf numFmtId="164" fontId="0" fillId="3" borderId="27" xfId="1" applyNumberFormat="1" applyFont="1" applyFill="1" applyBorder="1"/>
    <xf numFmtId="164" fontId="3" fillId="3" borderId="59" xfId="1" applyNumberFormat="1" applyFont="1" applyFill="1" applyBorder="1" applyAlignment="1">
      <alignment horizontal="right"/>
    </xf>
    <xf numFmtId="164" fontId="0" fillId="3" borderId="10" xfId="1" applyNumberFormat="1" applyFont="1" applyFill="1" applyBorder="1"/>
    <xf numFmtId="164" fontId="3" fillId="3" borderId="37" xfId="1" applyNumberFormat="1" applyFont="1" applyFill="1" applyBorder="1" applyAlignment="1">
      <alignment horizontal="right"/>
    </xf>
    <xf numFmtId="164" fontId="2" fillId="2" borderId="56" xfId="1" applyNumberFormat="1" applyFont="1" applyFill="1" applyBorder="1" applyAlignment="1">
      <alignment horizontal="right"/>
    </xf>
    <xf numFmtId="0" fontId="10" fillId="3" borderId="52" xfId="0" applyFont="1" applyFill="1" applyBorder="1" applyAlignment="1">
      <alignment horizontal="right" wrapText="1"/>
    </xf>
    <xf numFmtId="43" fontId="3" fillId="3" borderId="10" xfId="1" applyFont="1" applyFill="1" applyBorder="1"/>
    <xf numFmtId="0" fontId="3" fillId="3" borderId="10" xfId="0" applyFont="1" applyFill="1" applyBorder="1" applyAlignment="1">
      <alignment horizontal="right"/>
    </xf>
    <xf numFmtId="0" fontId="3" fillId="3" borderId="10" xfId="0" applyFont="1" applyFill="1" applyBorder="1"/>
    <xf numFmtId="1" fontId="0" fillId="3" borderId="40" xfId="0" applyNumberFormat="1" applyFont="1" applyFill="1" applyBorder="1"/>
    <xf numFmtId="0" fontId="2" fillId="2" borderId="42" xfId="0" applyFont="1" applyFill="1" applyBorder="1" applyAlignment="1">
      <alignment horizontal="center" vertical="center" wrapText="1"/>
    </xf>
    <xf numFmtId="43" fontId="1" fillId="3" borderId="41" xfId="1" applyNumberFormat="1" applyFont="1" applyFill="1" applyBorder="1"/>
    <xf numFmtId="43" fontId="1" fillId="3" borderId="27" xfId="1" applyNumberFormat="1" applyFont="1" applyFill="1" applyBorder="1"/>
    <xf numFmtId="2" fontId="2" fillId="2" borderId="42" xfId="0" applyNumberFormat="1" applyFont="1" applyFill="1" applyBorder="1" applyAlignment="1"/>
    <xf numFmtId="164" fontId="2" fillId="2" borderId="42" xfId="1" applyNumberFormat="1" applyFont="1" applyFill="1" applyBorder="1" applyAlignment="1"/>
    <xf numFmtId="43" fontId="0" fillId="3" borderId="40" xfId="0" applyNumberFormat="1" applyFill="1" applyBorder="1"/>
    <xf numFmtId="0" fontId="7" fillId="2" borderId="24" xfId="0" applyFont="1" applyFill="1" applyBorder="1"/>
    <xf numFmtId="0" fontId="12" fillId="3" borderId="0" xfId="0" applyFont="1" applyFill="1" applyBorder="1"/>
    <xf numFmtId="0" fontId="12" fillId="3" borderId="52" xfId="0" applyFont="1" applyFill="1" applyBorder="1"/>
    <xf numFmtId="0" fontId="2" fillId="2" borderId="56" xfId="0" applyFont="1" applyFill="1" applyBorder="1" applyAlignment="1">
      <alignment horizontal="center" vertical="center" wrapText="1"/>
    </xf>
    <xf numFmtId="2" fontId="0" fillId="3" borderId="52" xfId="0" applyNumberFormat="1" applyFont="1" applyFill="1" applyBorder="1"/>
    <xf numFmtId="43" fontId="0" fillId="3" borderId="10" xfId="0" applyNumberFormat="1" applyFont="1" applyFill="1" applyBorder="1"/>
    <xf numFmtId="0" fontId="0" fillId="2" borderId="23" xfId="0" applyFill="1" applyBorder="1" applyAlignment="1">
      <alignment horizontal="right"/>
    </xf>
    <xf numFmtId="9" fontId="0" fillId="3" borderId="0" xfId="2" applyFont="1" applyFill="1" applyBorder="1" applyAlignment="1">
      <alignment horizontal="center"/>
    </xf>
    <xf numFmtId="9" fontId="0" fillId="3" borderId="0" xfId="2" applyFont="1" applyFill="1" applyBorder="1" applyAlignment="1">
      <alignment horizontal="center" wrapText="1"/>
    </xf>
    <xf numFmtId="43" fontId="0" fillId="3" borderId="41" xfId="1" applyNumberFormat="1" applyFont="1" applyFill="1" applyBorder="1"/>
    <xf numFmtId="0" fontId="0" fillId="3" borderId="12" xfId="0" applyFill="1" applyBorder="1" applyAlignment="1" applyProtection="1">
      <alignment horizontal="left"/>
    </xf>
    <xf numFmtId="2" fontId="2" fillId="2" borderId="56" xfId="0" applyNumberFormat="1" applyFont="1" applyFill="1" applyBorder="1" applyAlignment="1"/>
    <xf numFmtId="0" fontId="4" fillId="2" borderId="24" xfId="0" applyFont="1" applyFill="1" applyBorder="1" applyProtection="1"/>
    <xf numFmtId="0" fontId="4" fillId="2" borderId="25" xfId="0" applyFont="1" applyFill="1" applyBorder="1" applyProtection="1"/>
    <xf numFmtId="164" fontId="2" fillId="2" borderId="42" xfId="1" applyNumberFormat="1" applyFont="1" applyFill="1" applyBorder="1" applyAlignment="1">
      <alignment horizontal="center"/>
    </xf>
    <xf numFmtId="43" fontId="2" fillId="2" borderId="56" xfId="1" applyFont="1" applyFill="1" applyBorder="1" applyAlignment="1">
      <alignment horizontal="right"/>
    </xf>
    <xf numFmtId="0" fontId="2" fillId="2" borderId="42" xfId="0" applyFont="1" applyFill="1" applyBorder="1" applyAlignment="1">
      <alignment horizontal="center" wrapText="1"/>
    </xf>
    <xf numFmtId="0" fontId="2" fillId="2" borderId="42" xfId="0" applyFont="1" applyFill="1" applyBorder="1" applyAlignment="1">
      <alignment horizontal="center"/>
    </xf>
    <xf numFmtId="0" fontId="2" fillId="2" borderId="56" xfId="0" applyFont="1" applyFill="1" applyBorder="1" applyAlignment="1">
      <alignment horizontal="center" wrapText="1"/>
    </xf>
    <xf numFmtId="43" fontId="3" fillId="3" borderId="49" xfId="0" applyNumberFormat="1" applyFont="1" applyFill="1" applyBorder="1" applyAlignment="1">
      <alignment horizontal="right"/>
    </xf>
    <xf numFmtId="0" fontId="0" fillId="4" borderId="4" xfId="0" applyFill="1" applyBorder="1" applyAlignment="1" applyProtection="1">
      <alignment horizontal="center"/>
      <protection locked="0"/>
    </xf>
    <xf numFmtId="1" fontId="0" fillId="4" borderId="4" xfId="2" applyNumberFormat="1" applyFont="1" applyFill="1" applyBorder="1" applyAlignment="1" applyProtection="1">
      <alignment horizontal="center"/>
      <protection locked="0"/>
    </xf>
    <xf numFmtId="9" fontId="0" fillId="4" borderId="4" xfId="2" applyFont="1" applyFill="1" applyBorder="1" applyAlignment="1" applyProtection="1">
      <alignment horizontal="center"/>
      <protection locked="0"/>
    </xf>
    <xf numFmtId="2" fontId="0" fillId="4" borderId="62" xfId="0" applyNumberFormat="1" applyFill="1" applyBorder="1" applyAlignment="1" applyProtection="1">
      <alignment horizontal="center"/>
      <protection locked="0"/>
    </xf>
    <xf numFmtId="0" fontId="0" fillId="3" borderId="52" xfId="0" applyFill="1" applyBorder="1" applyProtection="1"/>
    <xf numFmtId="0" fontId="0" fillId="3" borderId="55" xfId="0" applyFill="1" applyBorder="1" applyProtection="1"/>
    <xf numFmtId="0" fontId="0" fillId="4" borderId="26" xfId="0" applyFill="1" applyBorder="1" applyAlignment="1" applyProtection="1">
      <alignment horizontal="center"/>
      <protection locked="0"/>
    </xf>
    <xf numFmtId="0" fontId="9" fillId="2" borderId="61" xfId="0" applyFont="1" applyFill="1" applyBorder="1" applyProtection="1"/>
    <xf numFmtId="0" fontId="0" fillId="3" borderId="9" xfId="0" applyFill="1" applyBorder="1" applyAlignment="1" applyProtection="1">
      <alignment horizontal="left" vertical="center"/>
    </xf>
    <xf numFmtId="0" fontId="6" fillId="0" borderId="0" xfId="0" applyFont="1" applyFill="1" applyAlignment="1">
      <alignment vertical="center"/>
    </xf>
    <xf numFmtId="0" fontId="6" fillId="3" borderId="12" xfId="0" applyFont="1" applyFill="1" applyBorder="1" applyAlignment="1">
      <alignment vertical="center"/>
    </xf>
    <xf numFmtId="0" fontId="0" fillId="3" borderId="9" xfId="0" applyFill="1" applyBorder="1" applyAlignment="1" applyProtection="1">
      <alignment horizontal="left"/>
    </xf>
    <xf numFmtId="0" fontId="0" fillId="3" borderId="11" xfId="0" applyFill="1" applyBorder="1" applyAlignment="1" applyProtection="1">
      <alignment horizontal="left"/>
    </xf>
    <xf numFmtId="0" fontId="0" fillId="3" borderId="9" xfId="0" applyFill="1" applyBorder="1" applyAlignment="1" applyProtection="1">
      <alignment horizontal="left"/>
    </xf>
    <xf numFmtId="2" fontId="0" fillId="4" borderId="1" xfId="0" applyNumberFormat="1" applyFill="1" applyBorder="1" applyAlignment="1" applyProtection="1">
      <alignment horizontal="center"/>
      <protection locked="0"/>
    </xf>
    <xf numFmtId="2" fontId="0" fillId="4" borderId="20" xfId="0" applyNumberFormat="1" applyFill="1" applyBorder="1" applyAlignment="1" applyProtection="1">
      <alignment horizontal="center"/>
      <protection locked="0"/>
    </xf>
    <xf numFmtId="3" fontId="0" fillId="3" borderId="40" xfId="1" applyNumberFormat="1" applyFont="1" applyFill="1" applyBorder="1"/>
    <xf numFmtId="4" fontId="0" fillId="3" borderId="10" xfId="1" applyNumberFormat="1" applyFont="1" applyFill="1" applyBorder="1"/>
    <xf numFmtId="4" fontId="3" fillId="3" borderId="10" xfId="1" applyNumberFormat="1" applyFont="1" applyFill="1" applyBorder="1" applyAlignment="1">
      <alignment horizontal="right"/>
    </xf>
    <xf numFmtId="4" fontId="3" fillId="3" borderId="13" xfId="1" applyNumberFormat="1" applyFont="1" applyFill="1" applyBorder="1"/>
    <xf numFmtId="4" fontId="2" fillId="2" borderId="56" xfId="1" applyNumberFormat="1" applyFont="1" applyFill="1" applyBorder="1" applyAlignment="1">
      <alignment horizontal="right"/>
    </xf>
    <xf numFmtId="4" fontId="3" fillId="3" borderId="0" xfId="1" applyNumberFormat="1" applyFont="1" applyFill="1" applyBorder="1"/>
    <xf numFmtId="4" fontId="2" fillId="2" borderId="56" xfId="0" applyNumberFormat="1" applyFont="1" applyFill="1" applyBorder="1" applyAlignment="1">
      <alignment horizontal="center" vertical="center" wrapText="1"/>
    </xf>
    <xf numFmtId="4" fontId="10" fillId="3" borderId="8" xfId="1" applyNumberFormat="1" applyFont="1" applyFill="1" applyBorder="1" applyAlignment="1">
      <alignment horizontal="right"/>
    </xf>
    <xf numFmtId="4" fontId="3" fillId="3" borderId="13" xfId="1" applyNumberFormat="1" applyFont="1" applyFill="1" applyBorder="1" applyAlignment="1">
      <alignment horizontal="right"/>
    </xf>
    <xf numFmtId="3" fontId="0" fillId="3" borderId="38" xfId="1" applyNumberFormat="1" applyFont="1" applyFill="1" applyBorder="1"/>
    <xf numFmtId="3" fontId="1" fillId="3" borderId="46" xfId="1" applyNumberFormat="1" applyFont="1" applyFill="1" applyBorder="1"/>
    <xf numFmtId="3" fontId="0" fillId="3" borderId="46" xfId="1" applyNumberFormat="1" applyFont="1" applyFill="1" applyBorder="1"/>
    <xf numFmtId="3" fontId="2" fillId="2" borderId="42" xfId="1" applyNumberFormat="1" applyFont="1" applyFill="1" applyBorder="1" applyAlignment="1">
      <alignment horizontal="center"/>
    </xf>
    <xf numFmtId="3" fontId="3" fillId="3" borderId="0" xfId="0" applyNumberFormat="1" applyFont="1" applyFill="1" applyBorder="1" applyAlignment="1">
      <alignment horizontal="right"/>
    </xf>
    <xf numFmtId="3" fontId="2" fillId="2" borderId="42" xfId="0" applyNumberFormat="1" applyFont="1" applyFill="1" applyBorder="1" applyAlignment="1">
      <alignment horizontal="center" vertical="center" wrapText="1"/>
    </xf>
    <xf numFmtId="3" fontId="10" fillId="3" borderId="34" xfId="0" applyNumberFormat="1" applyFont="1" applyFill="1" applyBorder="1" applyAlignment="1">
      <alignment horizontal="right"/>
    </xf>
    <xf numFmtId="0" fontId="0" fillId="3" borderId="9"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0" fillId="3" borderId="12" xfId="0" applyFill="1" applyBorder="1" applyAlignment="1" applyProtection="1">
      <alignment horizontal="left"/>
    </xf>
    <xf numFmtId="0" fontId="3" fillId="3" borderId="32" xfId="0" applyFont="1" applyFill="1" applyBorder="1" applyAlignment="1" applyProtection="1">
      <alignment horizontal="center" wrapText="1"/>
    </xf>
    <xf numFmtId="0" fontId="0" fillId="3" borderId="1" xfId="0" applyFill="1" applyBorder="1" applyProtection="1"/>
    <xf numFmtId="0" fontId="3" fillId="3" borderId="34" xfId="0" applyFont="1" applyFill="1" applyBorder="1" applyAlignment="1" applyProtection="1">
      <alignment horizontal="center" wrapText="1"/>
    </xf>
    <xf numFmtId="0" fontId="3" fillId="3" borderId="33" xfId="0" applyFont="1" applyFill="1" applyBorder="1" applyAlignment="1" applyProtection="1">
      <alignment horizontal="center" wrapText="1"/>
    </xf>
    <xf numFmtId="0" fontId="0" fillId="3" borderId="22" xfId="0" applyFill="1" applyBorder="1" applyProtection="1"/>
    <xf numFmtId="9" fontId="0" fillId="3" borderId="8" xfId="2" applyFont="1" applyFill="1" applyBorder="1" applyAlignment="1" applyProtection="1">
      <alignment horizontal="center"/>
    </xf>
    <xf numFmtId="0" fontId="0" fillId="3" borderId="20" xfId="0" applyFill="1" applyBorder="1" applyProtection="1"/>
    <xf numFmtId="0" fontId="0" fillId="5" borderId="4" xfId="0" applyFill="1" applyBorder="1" applyAlignment="1" applyProtection="1">
      <alignment horizontal="center"/>
      <protection locked="0"/>
    </xf>
    <xf numFmtId="0" fontId="0" fillId="5" borderId="1" xfId="0" applyFill="1" applyBorder="1" applyAlignment="1" applyProtection="1">
      <alignment horizontal="center"/>
      <protection locked="0"/>
    </xf>
    <xf numFmtId="9" fontId="0" fillId="4" borderId="22" xfId="2" applyFont="1" applyFill="1" applyBorder="1" applyAlignment="1" applyProtection="1">
      <alignment horizontal="center"/>
      <protection locked="0"/>
    </xf>
    <xf numFmtId="0" fontId="0" fillId="5" borderId="14" xfId="0" applyFill="1" applyBorder="1" applyAlignment="1" applyProtection="1">
      <alignment horizontal="left"/>
      <protection locked="0"/>
    </xf>
    <xf numFmtId="0" fontId="0" fillId="6" borderId="50" xfId="0" applyFill="1" applyBorder="1" applyAlignment="1" applyProtection="1">
      <alignment horizontal="center"/>
      <protection locked="0"/>
    </xf>
    <xf numFmtId="0" fontId="0" fillId="6" borderId="60" xfId="0" applyFill="1" applyBorder="1" applyAlignment="1" applyProtection="1">
      <alignment horizontal="center"/>
      <protection locked="0"/>
    </xf>
    <xf numFmtId="0" fontId="0" fillId="3" borderId="9"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0" fillId="3" borderId="12" xfId="0" applyFill="1" applyBorder="1" applyAlignment="1" applyProtection="1">
      <alignment horizontal="left"/>
    </xf>
    <xf numFmtId="0" fontId="0" fillId="7" borderId="0" xfId="0" applyFill="1"/>
    <xf numFmtId="0" fontId="0" fillId="7" borderId="0" xfId="0" applyFill="1" applyProtection="1"/>
    <xf numFmtId="0" fontId="14" fillId="7" borderId="0" xfId="0" applyFont="1" applyFill="1" applyProtection="1"/>
    <xf numFmtId="0" fontId="0" fillId="7" borderId="0" xfId="0" applyFill="1" applyBorder="1" applyProtection="1"/>
    <xf numFmtId="2" fontId="0" fillId="7" borderId="0" xfId="0" applyNumberFormat="1" applyFill="1" applyBorder="1" applyProtection="1">
      <protection locked="0"/>
    </xf>
    <xf numFmtId="0" fontId="0" fillId="7" borderId="0" xfId="0" applyFill="1" applyBorder="1" applyProtection="1">
      <protection locked="0"/>
    </xf>
    <xf numFmtId="1" fontId="0" fillId="7" borderId="0" xfId="0" applyNumberFormat="1" applyFill="1" applyBorder="1" applyProtection="1"/>
    <xf numFmtId="0" fontId="3" fillId="7" borderId="0" xfId="0" applyFont="1" applyFill="1" applyBorder="1" applyAlignment="1">
      <alignment wrapText="1"/>
    </xf>
    <xf numFmtId="0" fontId="0" fillId="7" borderId="0" xfId="0" applyFill="1" applyBorder="1"/>
    <xf numFmtId="0" fontId="3" fillId="7" borderId="0" xfId="0" applyFont="1" applyFill="1" applyBorder="1" applyAlignment="1">
      <alignment horizontal="center" wrapText="1"/>
    </xf>
    <xf numFmtId="164" fontId="0" fillId="7" borderId="0" xfId="1" applyNumberFormat="1" applyFont="1" applyFill="1" applyBorder="1"/>
    <xf numFmtId="164" fontId="0" fillId="7" borderId="0" xfId="0" applyNumberFormat="1" applyFill="1" applyBorder="1"/>
    <xf numFmtId="0" fontId="8" fillId="7" borderId="0" xfId="0" applyFont="1" applyFill="1" applyBorder="1" applyAlignment="1" applyProtection="1"/>
    <xf numFmtId="0" fontId="3" fillId="7" borderId="0" xfId="0" applyFont="1" applyFill="1" applyBorder="1" applyAlignment="1" applyProtection="1">
      <alignment horizontal="right" wrapText="1"/>
    </xf>
    <xf numFmtId="0" fontId="3" fillId="7" borderId="0" xfId="0" applyFont="1" applyFill="1" applyBorder="1" applyProtection="1"/>
    <xf numFmtId="0" fontId="5" fillId="7" borderId="9" xfId="0" applyFont="1" applyFill="1" applyBorder="1" applyAlignment="1" applyProtection="1"/>
    <xf numFmtId="0" fontId="5" fillId="7" borderId="0" xfId="0" applyFont="1" applyFill="1" applyBorder="1" applyAlignment="1" applyProtection="1"/>
    <xf numFmtId="0" fontId="3" fillId="7" borderId="0" xfId="0" applyFont="1" applyFill="1" applyBorder="1" applyAlignment="1" applyProtection="1">
      <alignment horizontal="center"/>
    </xf>
    <xf numFmtId="2" fontId="0" fillId="7" borderId="0" xfId="0" applyNumberFormat="1" applyFill="1" applyBorder="1" applyAlignment="1" applyProtection="1">
      <alignment horizontal="center"/>
    </xf>
    <xf numFmtId="164" fontId="0" fillId="7" borderId="0" xfId="0" applyNumberFormat="1" applyFill="1" applyProtection="1"/>
    <xf numFmtId="0" fontId="14" fillId="7" borderId="0" xfId="0" applyFont="1" applyFill="1"/>
    <xf numFmtId="0" fontId="11" fillId="7" borderId="0" xfId="0" applyFont="1" applyFill="1"/>
    <xf numFmtId="0" fontId="14" fillId="7" borderId="0" xfId="0" applyFont="1" applyFill="1" applyBorder="1"/>
    <xf numFmtId="0" fontId="15" fillId="7" borderId="0" xfId="0" applyFont="1" applyFill="1"/>
    <xf numFmtId="0" fontId="3" fillId="7" borderId="0" xfId="0" applyFont="1" applyFill="1"/>
    <xf numFmtId="0" fontId="18" fillId="7" borderId="0" xfId="0" applyFont="1" applyFill="1"/>
    <xf numFmtId="0" fontId="18" fillId="7" borderId="0" xfId="0" applyFont="1" applyFill="1" applyBorder="1"/>
    <xf numFmtId="0" fontId="19" fillId="7" borderId="0" xfId="0" applyFont="1" applyFill="1"/>
    <xf numFmtId="0" fontId="19" fillId="7" borderId="0" xfId="0" applyFont="1" applyFill="1" applyBorder="1"/>
    <xf numFmtId="0" fontId="19" fillId="7" borderId="0" xfId="0" applyFont="1" applyFill="1" applyBorder="1" applyAlignment="1">
      <alignment horizontal="center" wrapText="1"/>
    </xf>
    <xf numFmtId="0" fontId="19" fillId="7" borderId="0" xfId="0" applyFont="1" applyFill="1" applyBorder="1" applyAlignment="1">
      <alignment wrapText="1"/>
    </xf>
    <xf numFmtId="164" fontId="18" fillId="7" borderId="0" xfId="1" applyNumberFormat="1" applyFont="1" applyFill="1" applyBorder="1"/>
    <xf numFmtId="164" fontId="18" fillId="7" borderId="0" xfId="0" applyNumberFormat="1" applyFont="1" applyFill="1"/>
    <xf numFmtId="0" fontId="0" fillId="3" borderId="63" xfId="0" applyFill="1" applyBorder="1"/>
    <xf numFmtId="0" fontId="0" fillId="4" borderId="64" xfId="0" applyFill="1" applyBorder="1" applyProtection="1">
      <protection locked="0"/>
    </xf>
    <xf numFmtId="2" fontId="3" fillId="3" borderId="52" xfId="0" applyNumberFormat="1" applyFont="1" applyFill="1" applyBorder="1" applyAlignment="1">
      <alignment horizontal="right"/>
    </xf>
    <xf numFmtId="0" fontId="0" fillId="0" borderId="52" xfId="0" applyBorder="1"/>
    <xf numFmtId="0" fontId="3" fillId="3" borderId="55" xfId="0" applyFont="1" applyFill="1" applyBorder="1" applyAlignment="1">
      <alignment horizontal="right"/>
    </xf>
    <xf numFmtId="164" fontId="10" fillId="3" borderId="38" xfId="1" applyNumberFormat="1" applyFont="1" applyFill="1" applyBorder="1" applyAlignment="1">
      <alignment horizontal="right"/>
    </xf>
    <xf numFmtId="0" fontId="10" fillId="3" borderId="38" xfId="0" applyFont="1" applyFill="1" applyBorder="1" applyAlignment="1">
      <alignment horizontal="right"/>
    </xf>
    <xf numFmtId="164" fontId="3" fillId="3" borderId="38" xfId="1" applyNumberFormat="1" applyFont="1" applyFill="1" applyBorder="1" applyAlignment="1">
      <alignment horizontal="right"/>
    </xf>
    <xf numFmtId="43" fontId="0" fillId="3" borderId="38" xfId="1" applyFont="1" applyFill="1" applyBorder="1"/>
    <xf numFmtId="43" fontId="3" fillId="3" borderId="38" xfId="1" applyNumberFormat="1" applyFont="1" applyFill="1" applyBorder="1" applyAlignment="1">
      <alignment horizontal="right"/>
    </xf>
    <xf numFmtId="164" fontId="3" fillId="3" borderId="65" xfId="1" applyNumberFormat="1" applyFont="1" applyFill="1" applyBorder="1" applyAlignment="1">
      <alignment horizontal="right"/>
    </xf>
    <xf numFmtId="0" fontId="3" fillId="3" borderId="38" xfId="0" applyFont="1" applyFill="1" applyBorder="1" applyAlignment="1">
      <alignment horizontal="right"/>
    </xf>
    <xf numFmtId="164" fontId="3" fillId="3" borderId="66" xfId="1" applyNumberFormat="1" applyFont="1" applyFill="1" applyBorder="1" applyAlignment="1">
      <alignment horizontal="right"/>
    </xf>
    <xf numFmtId="43" fontId="3" fillId="3" borderId="66" xfId="0" applyNumberFormat="1" applyFont="1" applyFill="1" applyBorder="1" applyAlignment="1">
      <alignment horizontal="right"/>
    </xf>
    <xf numFmtId="43" fontId="3" fillId="3" borderId="13" xfId="0" applyNumberFormat="1" applyFont="1" applyFill="1" applyBorder="1" applyAlignment="1">
      <alignment horizontal="right"/>
    </xf>
    <xf numFmtId="0" fontId="15" fillId="7" borderId="0" xfId="0" applyFont="1" applyFill="1" applyBorder="1" applyAlignment="1">
      <alignment wrapText="1"/>
    </xf>
    <xf numFmtId="43" fontId="18" fillId="7" borderId="0" xfId="0" applyNumberFormat="1" applyFont="1" applyFill="1"/>
    <xf numFmtId="0" fontId="3" fillId="3" borderId="52" xfId="0" applyFont="1" applyFill="1" applyBorder="1" applyAlignment="1">
      <alignment horizontal="right"/>
    </xf>
    <xf numFmtId="164" fontId="3" fillId="3" borderId="65" xfId="1" applyNumberFormat="1" applyFont="1" applyFill="1" applyBorder="1"/>
    <xf numFmtId="0" fontId="12" fillId="3" borderId="7" xfId="0" applyFont="1" applyFill="1" applyBorder="1"/>
    <xf numFmtId="0" fontId="12" fillId="3" borderId="63" xfId="0" applyFont="1" applyFill="1" applyBorder="1"/>
    <xf numFmtId="0" fontId="10" fillId="3" borderId="63" xfId="0" applyFont="1" applyFill="1" applyBorder="1" applyAlignment="1">
      <alignment horizontal="right"/>
    </xf>
    <xf numFmtId="164" fontId="10" fillId="3" borderId="10" xfId="1" applyNumberFormat="1" applyFont="1" applyFill="1" applyBorder="1" applyAlignment="1">
      <alignment horizontal="right"/>
    </xf>
    <xf numFmtId="164" fontId="3" fillId="3" borderId="55" xfId="1" applyNumberFormat="1" applyFont="1" applyFill="1" applyBorder="1"/>
    <xf numFmtId="43" fontId="3" fillId="3" borderId="13" xfId="1" applyNumberFormat="1" applyFont="1" applyFill="1" applyBorder="1"/>
    <xf numFmtId="0" fontId="0" fillId="4" borderId="68" xfId="0" applyFill="1" applyBorder="1" applyAlignment="1" applyProtection="1">
      <alignment horizontal="right"/>
      <protection locked="0"/>
    </xf>
    <xf numFmtId="0" fontId="0" fillId="4" borderId="69" xfId="0" applyFill="1" applyBorder="1" applyAlignment="1" applyProtection="1">
      <alignment horizontal="right"/>
      <protection locked="0"/>
    </xf>
    <xf numFmtId="0" fontId="0" fillId="3" borderId="70" xfId="0" applyFill="1" applyBorder="1"/>
    <xf numFmtId="2" fontId="0" fillId="3" borderId="0" xfId="1" applyNumberFormat="1" applyFont="1" applyFill="1" applyBorder="1"/>
    <xf numFmtId="0" fontId="0" fillId="6" borderId="67" xfId="0" applyFill="1" applyBorder="1" applyProtection="1">
      <protection locked="0"/>
    </xf>
    <xf numFmtId="0" fontId="0" fillId="3" borderId="39" xfId="0" applyFill="1" applyBorder="1"/>
    <xf numFmtId="0" fontId="10" fillId="3" borderId="39" xfId="0" applyFont="1" applyFill="1" applyBorder="1"/>
    <xf numFmtId="0" fontId="0" fillId="6" borderId="71" xfId="0" applyFill="1" applyBorder="1" applyProtection="1">
      <protection locked="0"/>
    </xf>
    <xf numFmtId="164" fontId="3" fillId="3" borderId="52" xfId="0" applyNumberFormat="1" applyFont="1" applyFill="1" applyBorder="1" applyAlignment="1">
      <alignment horizontal="right"/>
    </xf>
    <xf numFmtId="43" fontId="10" fillId="3" borderId="38" xfId="1" applyFont="1" applyFill="1" applyBorder="1" applyAlignment="1">
      <alignment horizontal="right"/>
    </xf>
    <xf numFmtId="43" fontId="10" fillId="3" borderId="63" xfId="1" applyFont="1" applyFill="1" applyBorder="1" applyAlignment="1">
      <alignment horizontal="right"/>
    </xf>
    <xf numFmtId="4" fontId="11" fillId="7" borderId="0" xfId="0" applyNumberFormat="1" applyFont="1" applyFill="1"/>
    <xf numFmtId="3" fontId="11" fillId="7" borderId="0" xfId="0" applyNumberFormat="1" applyFont="1" applyFill="1"/>
    <xf numFmtId="3" fontId="0" fillId="3" borderId="52" xfId="1" applyNumberFormat="1" applyFont="1" applyFill="1" applyBorder="1"/>
    <xf numFmtId="3" fontId="1" fillId="3" borderId="65" xfId="1" applyNumberFormat="1" applyFont="1" applyFill="1" applyBorder="1"/>
    <xf numFmtId="3" fontId="0" fillId="3" borderId="38" xfId="0" applyNumberFormat="1" applyFill="1" applyBorder="1"/>
    <xf numFmtId="3" fontId="10" fillId="3" borderId="38" xfId="0" applyNumberFormat="1" applyFont="1" applyFill="1" applyBorder="1" applyAlignment="1">
      <alignment horizontal="right"/>
    </xf>
    <xf numFmtId="3" fontId="3" fillId="3" borderId="38" xfId="1" applyNumberFormat="1" applyFont="1" applyFill="1" applyBorder="1" applyAlignment="1">
      <alignment horizontal="right"/>
    </xf>
    <xf numFmtId="3" fontId="3" fillId="3" borderId="49" xfId="0" applyNumberFormat="1" applyFont="1" applyFill="1" applyBorder="1" applyAlignment="1">
      <alignment horizontal="right"/>
    </xf>
    <xf numFmtId="4" fontId="10" fillId="3" borderId="10" xfId="1" applyNumberFormat="1" applyFont="1" applyFill="1" applyBorder="1" applyAlignment="1">
      <alignment horizontal="right"/>
    </xf>
    <xf numFmtId="43" fontId="3" fillId="3" borderId="52" xfId="1" applyFont="1" applyFill="1" applyBorder="1" applyAlignment="1">
      <alignment horizontal="right"/>
    </xf>
    <xf numFmtId="3" fontId="3" fillId="3" borderId="38" xfId="0" applyNumberFormat="1" applyFont="1" applyFill="1" applyBorder="1" applyAlignment="1">
      <alignment horizontal="right"/>
    </xf>
    <xf numFmtId="167" fontId="2" fillId="2" borderId="42" xfId="0" applyNumberFormat="1" applyFont="1" applyFill="1" applyBorder="1" applyAlignment="1">
      <alignment horizontal="right"/>
    </xf>
    <xf numFmtId="167" fontId="2" fillId="2" borderId="56" xfId="0" applyNumberFormat="1" applyFont="1" applyFill="1" applyBorder="1" applyAlignment="1">
      <alignment horizontal="right"/>
    </xf>
    <xf numFmtId="0" fontId="10" fillId="3" borderId="7" xfId="0" applyFont="1" applyFill="1" applyBorder="1" applyAlignment="1">
      <alignment horizontal="right" wrapText="1"/>
    </xf>
    <xf numFmtId="0" fontId="0" fillId="3" borderId="0" xfId="0" applyFont="1" applyFill="1" applyBorder="1" applyAlignment="1">
      <alignment horizontal="right" wrapText="1"/>
    </xf>
    <xf numFmtId="0" fontId="0" fillId="4" borderId="68" xfId="0" applyFill="1" applyBorder="1" applyProtection="1">
      <protection locked="0"/>
    </xf>
    <xf numFmtId="0" fontId="0" fillId="6" borderId="73" xfId="0" applyFill="1" applyBorder="1" applyProtection="1">
      <protection locked="0"/>
    </xf>
    <xf numFmtId="0" fontId="3" fillId="3" borderId="40" xfId="0" applyFont="1" applyFill="1" applyBorder="1" applyAlignment="1">
      <alignment horizontal="right" wrapText="1"/>
    </xf>
    <xf numFmtId="0" fontId="3" fillId="3" borderId="0" xfId="0" applyFont="1" applyFill="1" applyBorder="1" applyAlignment="1">
      <alignment horizontal="right" wrapText="1"/>
    </xf>
    <xf numFmtId="0" fontId="3" fillId="3" borderId="0" xfId="0" applyFont="1" applyFill="1" applyBorder="1" applyAlignment="1">
      <alignment horizontal="center" wrapText="1"/>
    </xf>
    <xf numFmtId="0" fontId="14" fillId="3" borderId="0" xfId="0" applyFont="1" applyFill="1"/>
    <xf numFmtId="4" fontId="0" fillId="3" borderId="0" xfId="0" applyNumberFormat="1" applyFill="1"/>
    <xf numFmtId="0" fontId="20" fillId="7" borderId="0" xfId="0" applyFont="1" applyFill="1" applyBorder="1" applyProtection="1"/>
    <xf numFmtId="0" fontId="21" fillId="3" borderId="0" xfId="0" applyFont="1" applyFill="1" applyAlignment="1" applyProtection="1">
      <alignment horizontal="right"/>
    </xf>
    <xf numFmtId="0" fontId="21" fillId="0" borderId="0" xfId="0" applyFont="1" applyAlignment="1" applyProtection="1">
      <alignment horizontal="right"/>
    </xf>
    <xf numFmtId="43" fontId="0" fillId="3" borderId="27" xfId="1" applyFont="1" applyFill="1" applyBorder="1"/>
    <xf numFmtId="3" fontId="2" fillId="2" borderId="42" xfId="1" applyNumberFormat="1" applyFont="1" applyFill="1" applyBorder="1" applyAlignment="1">
      <alignment horizontal="right"/>
    </xf>
    <xf numFmtId="43" fontId="0" fillId="3" borderId="38" xfId="1" applyNumberFormat="1" applyFont="1" applyFill="1" applyBorder="1"/>
    <xf numFmtId="43" fontId="0" fillId="3" borderId="46" xfId="1" applyNumberFormat="1" applyFont="1" applyFill="1" applyBorder="1"/>
    <xf numFmtId="43" fontId="0" fillId="3" borderId="27" xfId="1" applyNumberFormat="1" applyFont="1" applyFill="1" applyBorder="1"/>
    <xf numFmtId="0" fontId="0" fillId="3" borderId="40" xfId="1" applyNumberFormat="1" applyFont="1" applyFill="1" applyBorder="1"/>
    <xf numFmtId="164" fontId="1" fillId="3" borderId="46" xfId="1" applyNumberFormat="1" applyFont="1" applyFill="1" applyBorder="1"/>
    <xf numFmtId="0" fontId="0" fillId="3" borderId="9"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0" fillId="3" borderId="12" xfId="0" applyFill="1" applyBorder="1" applyAlignment="1" applyProtection="1">
      <alignment horizontal="left"/>
    </xf>
    <xf numFmtId="0" fontId="0" fillId="3" borderId="6" xfId="0" applyFill="1" applyBorder="1" applyAlignment="1" applyProtection="1">
      <alignment horizontal="left"/>
    </xf>
    <xf numFmtId="0" fontId="0" fillId="3" borderId="7" xfId="0" applyFill="1" applyBorder="1" applyAlignment="1" applyProtection="1">
      <alignment horizontal="left"/>
    </xf>
    <xf numFmtId="0" fontId="17" fillId="3" borderId="0" xfId="0" applyFont="1" applyFill="1" applyBorder="1" applyAlignment="1" applyProtection="1">
      <alignment horizontal="left" wrapText="1"/>
    </xf>
    <xf numFmtId="0" fontId="17" fillId="3" borderId="52" xfId="0" applyFont="1" applyFill="1" applyBorder="1" applyAlignment="1" applyProtection="1">
      <alignment horizontal="left" wrapText="1"/>
    </xf>
    <xf numFmtId="2" fontId="0" fillId="3" borderId="57" xfId="0" applyNumberFormat="1" applyFill="1" applyBorder="1" applyAlignment="1">
      <alignment horizontal="center"/>
    </xf>
    <xf numFmtId="2" fontId="0" fillId="3" borderId="0" xfId="0" applyNumberFormat="1" applyFill="1" applyBorder="1" applyAlignment="1">
      <alignment horizontal="center"/>
    </xf>
    <xf numFmtId="0" fontId="3" fillId="3" borderId="40" xfId="0" applyFont="1" applyFill="1" applyBorder="1" applyAlignment="1">
      <alignment horizontal="center" wrapText="1"/>
    </xf>
    <xf numFmtId="0" fontId="3" fillId="3" borderId="51" xfId="0" applyFont="1" applyFill="1" applyBorder="1" applyAlignment="1">
      <alignment horizontal="center" wrapText="1"/>
    </xf>
    <xf numFmtId="0" fontId="3" fillId="3" borderId="0" xfId="0" applyFont="1" applyFill="1" applyBorder="1" applyAlignment="1">
      <alignment horizontal="center" wrapText="1"/>
    </xf>
    <xf numFmtId="0" fontId="19" fillId="7" borderId="0" xfId="0" applyFont="1" applyFill="1" applyBorder="1" applyAlignment="1">
      <alignment horizontal="center" wrapText="1"/>
    </xf>
    <xf numFmtId="0" fontId="10" fillId="3" borderId="0" xfId="0" applyFont="1" applyFill="1" applyBorder="1" applyAlignment="1">
      <alignment horizontal="center"/>
    </xf>
    <xf numFmtId="0" fontId="3" fillId="3" borderId="72" xfId="0" applyFont="1" applyFill="1" applyBorder="1" applyAlignment="1">
      <alignment horizontal="center" wrapText="1"/>
    </xf>
    <xf numFmtId="0" fontId="3" fillId="7" borderId="0" xfId="0" applyFont="1" applyFill="1" applyBorder="1" applyAlignment="1">
      <alignment horizontal="center" wrapText="1"/>
    </xf>
    <xf numFmtId="0" fontId="16" fillId="3" borderId="40" xfId="0" applyFont="1" applyFill="1" applyBorder="1" applyAlignment="1">
      <alignment horizontal="center"/>
    </xf>
    <xf numFmtId="0" fontId="16" fillId="3" borderId="0" xfId="0" applyFont="1" applyFill="1" applyBorder="1" applyAlignment="1">
      <alignment horizontal="center"/>
    </xf>
    <xf numFmtId="0" fontId="16" fillId="3" borderId="52" xfId="0" applyFont="1" applyFill="1" applyBorder="1" applyAlignment="1">
      <alignment horizontal="center"/>
    </xf>
    <xf numFmtId="0" fontId="0" fillId="3" borderId="40" xfId="0" applyFill="1" applyBorder="1" applyAlignment="1">
      <alignment horizontal="center"/>
    </xf>
    <xf numFmtId="0" fontId="0" fillId="3" borderId="0" xfId="0" applyFill="1" applyBorder="1" applyAlignment="1">
      <alignment horizontal="center"/>
    </xf>
    <xf numFmtId="0" fontId="0" fillId="3" borderId="52" xfId="0" applyFill="1" applyBorder="1" applyAlignment="1">
      <alignment horizontal="center"/>
    </xf>
    <xf numFmtId="2" fontId="0" fillId="3" borderId="52" xfId="0" applyNumberFormat="1" applyFill="1" applyBorder="1" applyAlignment="1">
      <alignment horizontal="center"/>
    </xf>
    <xf numFmtId="0" fontId="10" fillId="3" borderId="52" xfId="0" applyFont="1" applyFill="1" applyBorder="1" applyAlignment="1">
      <alignment horizontal="center"/>
    </xf>
    <xf numFmtId="166" fontId="0" fillId="3" borderId="57" xfId="0" applyNumberFormat="1" applyFill="1" applyBorder="1" applyAlignment="1">
      <alignment horizontal="center"/>
    </xf>
    <xf numFmtId="166" fontId="0" fillId="3" borderId="52" xfId="0" applyNumberFormat="1" applyFill="1" applyBorder="1" applyAlignment="1">
      <alignment horizontal="center"/>
    </xf>
    <xf numFmtId="0" fontId="6" fillId="3" borderId="12" xfId="0" applyFont="1" applyFill="1" applyBorder="1" applyAlignment="1">
      <alignment horizontal="center"/>
    </xf>
    <xf numFmtId="0" fontId="10" fillId="3" borderId="40" xfId="0" applyFont="1" applyFill="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CCFFFF"/>
      <color rgb="FFFFFFCC"/>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14827</xdr:rowOff>
    </xdr:from>
    <xdr:ext cx="9544050" cy="1994948"/>
    <xdr:sp macro="" textlink="">
      <xdr:nvSpPr>
        <xdr:cNvPr id="2" name="Rectangle 1"/>
        <xdr:cNvSpPr/>
      </xdr:nvSpPr>
      <xdr:spPr>
        <a:xfrm>
          <a:off x="0" y="176752"/>
          <a:ext cx="9544050" cy="1994948"/>
        </a:xfrm>
        <a:prstGeom prst="rect">
          <a:avLst/>
        </a:prstGeom>
        <a:noFill/>
      </xdr:spPr>
      <xdr:txBody>
        <a:bodyPr wrap="square" lIns="91440" tIns="45720" rIns="91440" bIns="45720">
          <a:noAutofit/>
        </a:bodyPr>
        <a:lstStyle/>
        <a:p>
          <a:pPr algn="ctr"/>
          <a:r>
            <a:rPr lang="en-US" sz="6600" b="1" cap="none" spc="0">
              <a:ln w="18000">
                <a:solidFill>
                  <a:schemeClr val="tx1"/>
                </a:solidFill>
                <a:prstDash val="solid"/>
                <a:miter lim="800000"/>
              </a:ln>
              <a:solidFill>
                <a:srgbClr val="FF0000"/>
              </a:solidFill>
              <a:effectLst>
                <a:outerShdw blurRad="25500" dist="23000" dir="7020000" algn="tl">
                  <a:srgbClr val="000000">
                    <a:alpha val="50000"/>
                  </a:srgbClr>
                </a:outerShdw>
              </a:effectLst>
            </a:rPr>
            <a:t>Goat Budget</a:t>
          </a:r>
        </a:p>
        <a:p>
          <a:pPr algn="ctr"/>
          <a:r>
            <a:rPr lang="en-US" sz="6600" b="1" cap="none" spc="0">
              <a:ln w="18000">
                <a:solidFill>
                  <a:schemeClr val="tx1"/>
                </a:solidFill>
                <a:prstDash val="solid"/>
                <a:miter lim="800000"/>
              </a:ln>
              <a:solidFill>
                <a:srgbClr val="FF0000"/>
              </a:solidFill>
              <a:effectLst>
                <a:outerShdw blurRad="25500" dist="23000" dir="7020000" algn="tl">
                  <a:srgbClr val="000000">
                    <a:alpha val="50000"/>
                  </a:srgbClr>
                </a:outerShdw>
              </a:effectLst>
            </a:rPr>
            <a:t>Worksheet</a:t>
          </a:r>
        </a:p>
      </xdr:txBody>
    </xdr:sp>
    <xdr:clientData/>
  </xdr:oneCellAnchor>
  <xdr:oneCellAnchor>
    <xdr:from>
      <xdr:col>0</xdr:col>
      <xdr:colOff>9526</xdr:colOff>
      <xdr:row>14</xdr:row>
      <xdr:rowOff>33877</xdr:rowOff>
    </xdr:from>
    <xdr:ext cx="9391650" cy="2221249"/>
    <xdr:sp macro="" textlink="">
      <xdr:nvSpPr>
        <xdr:cNvPr id="3" name="Rectangle 2"/>
        <xdr:cNvSpPr/>
      </xdr:nvSpPr>
      <xdr:spPr>
        <a:xfrm>
          <a:off x="9526" y="2300827"/>
          <a:ext cx="9391650" cy="2221249"/>
        </a:xfrm>
        <a:prstGeom prst="rect">
          <a:avLst/>
        </a:prstGeom>
        <a:noFill/>
      </xdr:spPr>
      <xdr:txBody>
        <a:bodyPr wrap="square" lIns="91440" tIns="45720" rIns="91440" bIns="45720">
          <a:noAutofit/>
        </a:bodyPr>
        <a:lstStyle/>
        <a:p>
          <a:pPr algn="ctr"/>
          <a:r>
            <a:rPr lang="en-US" sz="40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by</a:t>
          </a:r>
        </a:p>
        <a:p>
          <a:pPr algn="ctr"/>
          <a:r>
            <a:rPr lang="en-US" sz="40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Roger Wilson</a:t>
          </a:r>
        </a:p>
        <a:p>
          <a:pPr algn="ctr"/>
          <a:r>
            <a:rPr lang="en-US" sz="28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Farm Managerment / Enterprise Budget Analyst</a:t>
          </a:r>
        </a:p>
        <a:p>
          <a:pPr algn="ctr"/>
          <a:r>
            <a:rPr lang="en-US" sz="28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rwilson6@unl.edu</a:t>
          </a:r>
        </a:p>
      </xdr:txBody>
    </xdr:sp>
    <xdr:clientData/>
  </xdr:oneCellAnchor>
  <xdr:twoCellAnchor>
    <xdr:from>
      <xdr:col>0</xdr:col>
      <xdr:colOff>552449</xdr:colOff>
      <xdr:row>29</xdr:row>
      <xdr:rowOff>38100</xdr:rowOff>
    </xdr:from>
    <xdr:to>
      <xdr:col>15</xdr:col>
      <xdr:colOff>285750</xdr:colOff>
      <xdr:row>40</xdr:row>
      <xdr:rowOff>76200</xdr:rowOff>
    </xdr:to>
    <xdr:sp macro="" textlink="">
      <xdr:nvSpPr>
        <xdr:cNvPr id="5" name="Rounded Rectangle 4"/>
        <xdr:cNvSpPr/>
      </xdr:nvSpPr>
      <xdr:spPr>
        <a:xfrm>
          <a:off x="552449" y="4733925"/>
          <a:ext cx="8877301" cy="18192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600" b="1">
              <a:solidFill>
                <a:schemeClr val="tx1"/>
              </a:solidFill>
            </a:rPr>
            <a:t>This budgeting workbook is designed for the small producer</a:t>
          </a:r>
          <a:r>
            <a:rPr lang="en-US" sz="1600" b="1" baseline="0">
              <a:solidFill>
                <a:schemeClr val="tx1"/>
              </a:solidFill>
            </a:rPr>
            <a:t> and</a:t>
          </a:r>
          <a:r>
            <a:rPr lang="en-US" sz="1600" b="1">
              <a:solidFill>
                <a:schemeClr val="tx1"/>
              </a:solidFill>
            </a:rPr>
            <a:t> assumes that does will kid once per year</a:t>
          </a:r>
          <a:r>
            <a:rPr lang="en-US" sz="1600" b="1" baseline="0">
              <a:solidFill>
                <a:schemeClr val="tx1"/>
              </a:solidFill>
            </a:rPr>
            <a:t>.  It includes spreadsheets for the breeding herd, bucks, replacement does,  and finishing kids. Output from the "Bucks" and "Replacement" spreadsheets feed into the "Herd "spreadsheet. The "Herd" and "Finish Kids" spreadsheets work together but can be used seperately. If they are used together, the kids from the herd automatically move into the "Finish Kids" spreadsheet. Their results are combined in the Farm Herd to Finish spreasheet.  All inputs except feed amounts are entered in the "Inputs" spreadsheet.</a:t>
          </a:r>
          <a:endParaRPr lang="en-US" sz="1600" b="1">
            <a:solidFill>
              <a:schemeClr val="tx1"/>
            </a:solidFill>
          </a:endParaRPr>
        </a:p>
      </xdr:txBody>
    </xdr:sp>
    <xdr:clientData/>
  </xdr:twoCellAnchor>
  <xdr:twoCellAnchor editAs="oneCell">
    <xdr:from>
      <xdr:col>1</xdr:col>
      <xdr:colOff>28575</xdr:colOff>
      <xdr:row>42</xdr:row>
      <xdr:rowOff>19050</xdr:rowOff>
    </xdr:from>
    <xdr:to>
      <xdr:col>6</xdr:col>
      <xdr:colOff>269091</xdr:colOff>
      <xdr:row>46</xdr:row>
      <xdr:rowOff>11430</xdr:rowOff>
    </xdr:to>
    <xdr:pic>
      <xdr:nvPicPr>
        <xdr:cNvPr id="6" name="Picture 5" descr="ExtBanner.png"/>
        <xdr:cNvPicPr>
          <a:picLocks noChangeAspect="1"/>
        </xdr:cNvPicPr>
      </xdr:nvPicPr>
      <xdr:blipFill>
        <a:blip xmlns:r="http://schemas.openxmlformats.org/officeDocument/2006/relationships" r:embed="rId1" cstate="print"/>
        <a:stretch>
          <a:fillRect/>
        </a:stretch>
      </xdr:blipFill>
      <xdr:spPr>
        <a:xfrm>
          <a:off x="638175" y="6819900"/>
          <a:ext cx="3288516" cy="640080"/>
        </a:xfrm>
        <a:prstGeom prst="rect">
          <a:avLst/>
        </a:prstGeom>
      </xdr:spPr>
    </xdr:pic>
    <xdr:clientData/>
  </xdr:twoCellAnchor>
  <xdr:twoCellAnchor editAs="oneCell">
    <xdr:from>
      <xdr:col>9</xdr:col>
      <xdr:colOff>571501</xdr:colOff>
      <xdr:row>42</xdr:row>
      <xdr:rowOff>57150</xdr:rowOff>
    </xdr:from>
    <xdr:to>
      <xdr:col>15</xdr:col>
      <xdr:colOff>189702</xdr:colOff>
      <xdr:row>46</xdr:row>
      <xdr:rowOff>49530</xdr:rowOff>
    </xdr:to>
    <xdr:pic>
      <xdr:nvPicPr>
        <xdr:cNvPr id="7" name="Picture 6" descr="Rural Initiative.tif"/>
        <xdr:cNvPicPr>
          <a:picLocks noChangeAspect="1"/>
        </xdr:cNvPicPr>
      </xdr:nvPicPr>
      <xdr:blipFill>
        <a:blip xmlns:r="http://schemas.openxmlformats.org/officeDocument/2006/relationships" r:embed="rId2" cstate="print"/>
        <a:stretch>
          <a:fillRect/>
        </a:stretch>
      </xdr:blipFill>
      <xdr:spPr>
        <a:xfrm>
          <a:off x="6057901" y="6858000"/>
          <a:ext cx="3275801" cy="640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47625</xdr:colOff>
      <xdr:row>0</xdr:row>
      <xdr:rowOff>9525</xdr:rowOff>
    </xdr:from>
    <xdr:to>
      <xdr:col>13</xdr:col>
      <xdr:colOff>485775</xdr:colOff>
      <xdr:row>2</xdr:row>
      <xdr:rowOff>19050</xdr:rowOff>
    </xdr:to>
    <xdr:sp macro="" textlink="">
      <xdr:nvSpPr>
        <xdr:cNvPr id="2" name="Rounded Rectangular Callout 1"/>
        <xdr:cNvSpPr/>
      </xdr:nvSpPr>
      <xdr:spPr>
        <a:xfrm>
          <a:off x="7391400" y="9525"/>
          <a:ext cx="2943225" cy="638175"/>
        </a:xfrm>
        <a:prstGeom prst="wedgeRoundRectCallout">
          <a:avLst>
            <a:gd name="adj1" fmla="val -99240"/>
            <a:gd name="adj2" fmla="val 5152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twoCellAnchor>
    <xdr:from>
      <xdr:col>8</xdr:col>
      <xdr:colOff>19050</xdr:colOff>
      <xdr:row>3</xdr:row>
      <xdr:rowOff>152399</xdr:rowOff>
    </xdr:from>
    <xdr:to>
      <xdr:col>13</xdr:col>
      <xdr:colOff>552450</xdr:colOff>
      <xdr:row>11</xdr:row>
      <xdr:rowOff>38100</xdr:rowOff>
    </xdr:to>
    <xdr:sp macro="" textlink="">
      <xdr:nvSpPr>
        <xdr:cNvPr id="4" name="Rounded Rectangular Callout 3"/>
        <xdr:cNvSpPr/>
      </xdr:nvSpPr>
      <xdr:spPr>
        <a:xfrm>
          <a:off x="7362825" y="942974"/>
          <a:ext cx="3038475" cy="1504951"/>
        </a:xfrm>
        <a:prstGeom prst="wedgeRoundRectCallout">
          <a:avLst>
            <a:gd name="adj1" fmla="val -94418"/>
            <a:gd name="adj2" fmla="val -2857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solidFill>
                <a:srgbClr val="FFFF00"/>
              </a:solidFill>
            </a:rPr>
            <a:t>Cells with a blue background use dropdown menus to enter data</a:t>
          </a:r>
        </a:p>
        <a:p>
          <a:pPr algn="ctr"/>
          <a:endParaRPr lang="en-US" sz="2000">
            <a:solidFill>
              <a:srgbClr val="FFFF00"/>
            </a:solidFill>
          </a:endParaRPr>
        </a:p>
      </xdr:txBody>
    </xdr:sp>
    <xdr:clientData/>
  </xdr:twoCellAnchor>
  <xdr:twoCellAnchor>
    <xdr:from>
      <xdr:col>8</xdr:col>
      <xdr:colOff>247650</xdr:colOff>
      <xdr:row>30</xdr:row>
      <xdr:rowOff>47626</xdr:rowOff>
    </xdr:from>
    <xdr:to>
      <xdr:col>13</xdr:col>
      <xdr:colOff>457200</xdr:colOff>
      <xdr:row>38</xdr:row>
      <xdr:rowOff>9525</xdr:rowOff>
    </xdr:to>
    <xdr:sp macro="" textlink="">
      <xdr:nvSpPr>
        <xdr:cNvPr id="6" name="Rounded Rectangular Callout 5"/>
        <xdr:cNvSpPr/>
      </xdr:nvSpPr>
      <xdr:spPr>
        <a:xfrm>
          <a:off x="7591425" y="6372226"/>
          <a:ext cx="2714625" cy="1266824"/>
        </a:xfrm>
        <a:prstGeom prst="wedgeRoundRectCallout">
          <a:avLst>
            <a:gd name="adj1" fmla="val -83056"/>
            <a:gd name="adj2" fmla="val -2426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solidFill>
                <a:srgbClr val="FFFF00"/>
              </a:solidFill>
            </a:rPr>
            <a:t>Cells with a white background contain formulas</a:t>
          </a:r>
        </a:p>
        <a:p>
          <a:pPr algn="ctr"/>
          <a:endParaRPr lang="en-US" sz="2000">
            <a:solidFill>
              <a:srgbClr val="FFFF00"/>
            </a:solidFill>
          </a:endParaRPr>
        </a:p>
      </xdr:txBody>
    </xdr:sp>
    <xdr:clientData/>
  </xdr:twoCellAnchor>
  <xdr:twoCellAnchor>
    <xdr:from>
      <xdr:col>8</xdr:col>
      <xdr:colOff>114300</xdr:colOff>
      <xdr:row>17</xdr:row>
      <xdr:rowOff>0</xdr:rowOff>
    </xdr:from>
    <xdr:to>
      <xdr:col>13</xdr:col>
      <xdr:colOff>419100</xdr:colOff>
      <xdr:row>24</xdr:row>
      <xdr:rowOff>9525</xdr:rowOff>
    </xdr:to>
    <xdr:sp macro="" textlink="">
      <xdr:nvSpPr>
        <xdr:cNvPr id="7" name="TextBox 6"/>
        <xdr:cNvSpPr txBox="1"/>
      </xdr:nvSpPr>
      <xdr:spPr>
        <a:xfrm>
          <a:off x="8905875" y="3562350"/>
          <a:ext cx="2809875" cy="1219200"/>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These entries should agree. Weaned kids minus</a:t>
          </a:r>
          <a:r>
            <a:rPr lang="en-US" sz="1100" b="1" baseline="0"/>
            <a:t> those kept for replacements will be added to the Finish kids spreadsheet. Kids weaned plus weaned Kids purchased less kids kept for replacement less kid death loss should equal finished kids sold.</a:t>
          </a:r>
          <a:endParaRPr lang="en-US" sz="1100" b="1"/>
        </a:p>
      </xdr:txBody>
    </xdr:sp>
    <xdr:clientData/>
  </xdr:twoCellAnchor>
  <xdr:twoCellAnchor>
    <xdr:from>
      <xdr:col>6</xdr:col>
      <xdr:colOff>476251</xdr:colOff>
      <xdr:row>14</xdr:row>
      <xdr:rowOff>114300</xdr:rowOff>
    </xdr:from>
    <xdr:to>
      <xdr:col>8</xdr:col>
      <xdr:colOff>114301</xdr:colOff>
      <xdr:row>20</xdr:row>
      <xdr:rowOff>47625</xdr:rowOff>
    </xdr:to>
    <xdr:cxnSp macro="">
      <xdr:nvCxnSpPr>
        <xdr:cNvPr id="9" name="Straight Arrow Connector 8"/>
        <xdr:cNvCxnSpPr>
          <a:stCxn id="7" idx="1"/>
        </xdr:cNvCxnSpPr>
      </xdr:nvCxnSpPr>
      <xdr:spPr>
        <a:xfrm rot="10800000">
          <a:off x="6477001" y="3009900"/>
          <a:ext cx="981075" cy="1162050"/>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6</xdr:col>
      <xdr:colOff>333375</xdr:colOff>
      <xdr:row>20</xdr:row>
      <xdr:rowOff>47624</xdr:rowOff>
    </xdr:from>
    <xdr:to>
      <xdr:col>8</xdr:col>
      <xdr:colOff>114300</xdr:colOff>
      <xdr:row>24</xdr:row>
      <xdr:rowOff>95249</xdr:rowOff>
    </xdr:to>
    <xdr:cxnSp macro="">
      <xdr:nvCxnSpPr>
        <xdr:cNvPr id="10" name="Straight Arrow Connector 9"/>
        <xdr:cNvCxnSpPr>
          <a:stCxn id="7" idx="1"/>
        </xdr:cNvCxnSpPr>
      </xdr:nvCxnSpPr>
      <xdr:spPr>
        <a:xfrm rot="10800000" flipV="1">
          <a:off x="6334125" y="4171949"/>
          <a:ext cx="1123950" cy="695325"/>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6</xdr:col>
      <xdr:colOff>285751</xdr:colOff>
      <xdr:row>20</xdr:row>
      <xdr:rowOff>47624</xdr:rowOff>
    </xdr:from>
    <xdr:to>
      <xdr:col>8</xdr:col>
      <xdr:colOff>114301</xdr:colOff>
      <xdr:row>20</xdr:row>
      <xdr:rowOff>114299</xdr:rowOff>
    </xdr:to>
    <xdr:cxnSp macro="">
      <xdr:nvCxnSpPr>
        <xdr:cNvPr id="11" name="Straight Arrow Connector 10"/>
        <xdr:cNvCxnSpPr>
          <a:stCxn id="7" idx="1"/>
        </xdr:cNvCxnSpPr>
      </xdr:nvCxnSpPr>
      <xdr:spPr>
        <a:xfrm rot="10800000" flipV="1">
          <a:off x="6286501" y="4171949"/>
          <a:ext cx="1171575" cy="66675"/>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8</xdr:col>
      <xdr:colOff>38100</xdr:colOff>
      <xdr:row>38</xdr:row>
      <xdr:rowOff>123825</xdr:rowOff>
    </xdr:from>
    <xdr:to>
      <xdr:col>13</xdr:col>
      <xdr:colOff>342900</xdr:colOff>
      <xdr:row>42</xdr:row>
      <xdr:rowOff>361950</xdr:rowOff>
    </xdr:to>
    <xdr:sp macro="" textlink="">
      <xdr:nvSpPr>
        <xdr:cNvPr id="30" name="TextBox 29"/>
        <xdr:cNvSpPr txBox="1"/>
      </xdr:nvSpPr>
      <xdr:spPr>
        <a:xfrm>
          <a:off x="7381875" y="7753350"/>
          <a:ext cx="2809875" cy="971550"/>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These columns are used to allocate expenses between the </a:t>
          </a:r>
          <a:r>
            <a:rPr lang="en-US" sz="1100" b="1" baseline="0"/>
            <a:t> herd</a:t>
          </a:r>
          <a:r>
            <a:rPr lang="en-US" sz="1100" b="1"/>
            <a:t> and feeding enterprises. The expenses in these tables</a:t>
          </a:r>
          <a:r>
            <a:rPr lang="en-US" sz="1100" b="1" baseline="0"/>
            <a:t> will be allocated between the herd and finish kids enterprises as per these percentages.</a:t>
          </a:r>
          <a:endParaRPr lang="en-US" sz="1100" b="1"/>
        </a:p>
      </xdr:txBody>
    </xdr:sp>
    <xdr:clientData/>
  </xdr:twoCellAnchor>
  <xdr:twoCellAnchor>
    <xdr:from>
      <xdr:col>4</xdr:col>
      <xdr:colOff>647701</xdr:colOff>
      <xdr:row>41</xdr:row>
      <xdr:rowOff>114300</xdr:rowOff>
    </xdr:from>
    <xdr:to>
      <xdr:col>8</xdr:col>
      <xdr:colOff>38101</xdr:colOff>
      <xdr:row>42</xdr:row>
      <xdr:rowOff>257175</xdr:rowOff>
    </xdr:to>
    <xdr:cxnSp macro="">
      <xdr:nvCxnSpPr>
        <xdr:cNvPr id="31" name="Straight Arrow Connector 30"/>
        <xdr:cNvCxnSpPr>
          <a:stCxn id="30" idx="1"/>
        </xdr:cNvCxnSpPr>
      </xdr:nvCxnSpPr>
      <xdr:spPr>
        <a:xfrm rot="10800000" flipV="1">
          <a:off x="5200651" y="8239125"/>
          <a:ext cx="2181225" cy="381000"/>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5</xdr:col>
      <xdr:colOff>533403</xdr:colOff>
      <xdr:row>41</xdr:row>
      <xdr:rowOff>114300</xdr:rowOff>
    </xdr:from>
    <xdr:to>
      <xdr:col>8</xdr:col>
      <xdr:colOff>38101</xdr:colOff>
      <xdr:row>42</xdr:row>
      <xdr:rowOff>466725</xdr:rowOff>
    </xdr:to>
    <xdr:cxnSp macro="">
      <xdr:nvCxnSpPr>
        <xdr:cNvPr id="34" name="Straight Arrow Connector 33"/>
        <xdr:cNvCxnSpPr>
          <a:stCxn id="30" idx="1"/>
        </xdr:cNvCxnSpPr>
      </xdr:nvCxnSpPr>
      <xdr:spPr>
        <a:xfrm rot="10800000" flipV="1">
          <a:off x="5829303" y="8239125"/>
          <a:ext cx="1552573" cy="590550"/>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6</xdr:col>
      <xdr:colOff>647700</xdr:colOff>
      <xdr:row>42</xdr:row>
      <xdr:rowOff>361951</xdr:rowOff>
    </xdr:from>
    <xdr:to>
      <xdr:col>11</xdr:col>
      <xdr:colOff>157163</xdr:colOff>
      <xdr:row>60</xdr:row>
      <xdr:rowOff>104779</xdr:rowOff>
    </xdr:to>
    <xdr:cxnSp macro="">
      <xdr:nvCxnSpPr>
        <xdr:cNvPr id="37" name="Straight Arrow Connector 36"/>
        <xdr:cNvCxnSpPr>
          <a:stCxn id="30" idx="2"/>
        </xdr:cNvCxnSpPr>
      </xdr:nvCxnSpPr>
      <xdr:spPr>
        <a:xfrm rot="5400000">
          <a:off x="6065043" y="9308308"/>
          <a:ext cx="3305178" cy="2138363"/>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7</xdr:col>
      <xdr:colOff>523876</xdr:colOff>
      <xdr:row>42</xdr:row>
      <xdr:rowOff>361949</xdr:rowOff>
    </xdr:from>
    <xdr:to>
      <xdr:col>11</xdr:col>
      <xdr:colOff>157164</xdr:colOff>
      <xdr:row>60</xdr:row>
      <xdr:rowOff>123824</xdr:rowOff>
    </xdr:to>
    <xdr:cxnSp macro="">
      <xdr:nvCxnSpPr>
        <xdr:cNvPr id="38" name="Straight Arrow Connector 37"/>
        <xdr:cNvCxnSpPr>
          <a:stCxn id="30" idx="2"/>
        </xdr:cNvCxnSpPr>
      </xdr:nvCxnSpPr>
      <xdr:spPr>
        <a:xfrm rot="5400000">
          <a:off x="6346032" y="9608343"/>
          <a:ext cx="3324225" cy="1557338"/>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5</xdr:col>
      <xdr:colOff>609601</xdr:colOff>
      <xdr:row>42</xdr:row>
      <xdr:rowOff>361950</xdr:rowOff>
    </xdr:from>
    <xdr:to>
      <xdr:col>11</xdr:col>
      <xdr:colOff>157164</xdr:colOff>
      <xdr:row>75</xdr:row>
      <xdr:rowOff>0</xdr:rowOff>
    </xdr:to>
    <xdr:cxnSp macro="">
      <xdr:nvCxnSpPr>
        <xdr:cNvPr id="44" name="Curved Connector 43"/>
        <xdr:cNvCxnSpPr>
          <a:stCxn id="30" idx="2"/>
        </xdr:cNvCxnSpPr>
      </xdr:nvCxnSpPr>
      <xdr:spPr>
        <a:xfrm rot="5400000">
          <a:off x="4217195" y="10413206"/>
          <a:ext cx="6257925" cy="2881313"/>
        </a:xfrm>
        <a:prstGeom prst="curvedConnector3">
          <a:avLst>
            <a:gd name="adj1" fmla="val 87595"/>
          </a:avLst>
        </a:prstGeom>
        <a:ln w="444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571502</xdr:colOff>
      <xdr:row>42</xdr:row>
      <xdr:rowOff>361949</xdr:rowOff>
    </xdr:from>
    <xdr:to>
      <xdr:col>11</xdr:col>
      <xdr:colOff>157164</xdr:colOff>
      <xdr:row>75</xdr:row>
      <xdr:rowOff>9523</xdr:rowOff>
    </xdr:to>
    <xdr:cxnSp macro="">
      <xdr:nvCxnSpPr>
        <xdr:cNvPr id="46" name="Curved Connector 45"/>
        <xdr:cNvCxnSpPr>
          <a:stCxn id="30" idx="2"/>
        </xdr:cNvCxnSpPr>
      </xdr:nvCxnSpPr>
      <xdr:spPr>
        <a:xfrm rot="5400000">
          <a:off x="4545808" y="10751343"/>
          <a:ext cx="6267449" cy="2214562"/>
        </a:xfrm>
        <a:prstGeom prst="curvedConnector3">
          <a:avLst>
            <a:gd name="adj1" fmla="val 91337"/>
          </a:avLst>
        </a:prstGeom>
        <a:ln w="444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180975</xdr:colOff>
      <xdr:row>25</xdr:row>
      <xdr:rowOff>38100</xdr:rowOff>
    </xdr:from>
    <xdr:to>
      <xdr:col>13</xdr:col>
      <xdr:colOff>600075</xdr:colOff>
      <xdr:row>29</xdr:row>
      <xdr:rowOff>523875</xdr:rowOff>
    </xdr:to>
    <xdr:sp macro="" textlink="">
      <xdr:nvSpPr>
        <xdr:cNvPr id="16" name="TextBox 15"/>
        <xdr:cNvSpPr txBox="1"/>
      </xdr:nvSpPr>
      <xdr:spPr>
        <a:xfrm>
          <a:off x="7524750" y="4972050"/>
          <a:ext cx="2924175" cy="1219200"/>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This is a conversion factor if feed is purchased in one unit and fed in another. For example,</a:t>
          </a:r>
          <a:r>
            <a:rPr lang="en-US" sz="1100" b="1" baseline="0"/>
            <a:t> i</a:t>
          </a:r>
          <a:r>
            <a:rPr lang="en-US" sz="1100" b="1"/>
            <a:t>f feed is priced by the ton and fed by the pound this entry is 2000</a:t>
          </a:r>
          <a:r>
            <a:rPr lang="en-US" sz="1100" b="1" baseline="0"/>
            <a:t> (</a:t>
          </a:r>
          <a:r>
            <a:rPr lang="en-US" sz="1100" b="1"/>
            <a:t>2,000 lbs / ton). If feed is priced by the bushel and fed by the pound this entry</a:t>
          </a:r>
          <a:r>
            <a:rPr lang="en-US" sz="1100" b="1" baseline="0"/>
            <a:t>  is 56 for corn (56 lbs / bu).</a:t>
          </a:r>
          <a:endParaRPr lang="en-US" sz="1100" b="1"/>
        </a:p>
      </xdr:txBody>
    </xdr:sp>
    <xdr:clientData/>
  </xdr:twoCellAnchor>
  <xdr:twoCellAnchor>
    <xdr:from>
      <xdr:col>5</xdr:col>
      <xdr:colOff>561978</xdr:colOff>
      <xdr:row>28</xdr:row>
      <xdr:rowOff>142874</xdr:rowOff>
    </xdr:from>
    <xdr:to>
      <xdr:col>8</xdr:col>
      <xdr:colOff>180976</xdr:colOff>
      <xdr:row>29</xdr:row>
      <xdr:rowOff>342899</xdr:rowOff>
    </xdr:to>
    <xdr:cxnSp macro="">
      <xdr:nvCxnSpPr>
        <xdr:cNvPr id="17" name="Straight Arrow Connector 16"/>
        <xdr:cNvCxnSpPr>
          <a:stCxn id="16" idx="1"/>
        </xdr:cNvCxnSpPr>
      </xdr:nvCxnSpPr>
      <xdr:spPr>
        <a:xfrm rot="10800000" flipV="1">
          <a:off x="5857878" y="5581649"/>
          <a:ext cx="1666873" cy="428625"/>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6</xdr:row>
      <xdr:rowOff>180975</xdr:rowOff>
    </xdr:from>
    <xdr:to>
      <xdr:col>0</xdr:col>
      <xdr:colOff>2847975</xdr:colOff>
      <xdr:row>14</xdr:row>
      <xdr:rowOff>133351</xdr:rowOff>
    </xdr:to>
    <xdr:sp macro="" textlink="">
      <xdr:nvSpPr>
        <xdr:cNvPr id="2" name="Rounded Rectangular Callout 1"/>
        <xdr:cNvSpPr/>
      </xdr:nvSpPr>
      <xdr:spPr>
        <a:xfrm>
          <a:off x="66675" y="1419225"/>
          <a:ext cx="2781300" cy="1504951"/>
        </a:xfrm>
        <a:prstGeom prst="wedgeRoundRectCallout">
          <a:avLst>
            <a:gd name="adj1" fmla="val 50016"/>
            <a:gd name="adj2" fmla="val 7142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solidFill>
                <a:srgbClr val="FFFF00"/>
              </a:solidFill>
            </a:rPr>
            <a:t>Cells with a blue background use dropdown menus to enter data</a:t>
          </a:r>
        </a:p>
        <a:p>
          <a:pPr algn="ctr"/>
          <a:endParaRPr lang="en-US" sz="2000">
            <a:solidFill>
              <a:srgbClr val="FFFF00"/>
            </a:solidFill>
          </a:endParaRPr>
        </a:p>
      </xdr:txBody>
    </xdr:sp>
    <xdr:clientData/>
  </xdr:twoCellAnchor>
  <xdr:twoCellAnchor>
    <xdr:from>
      <xdr:col>0</xdr:col>
      <xdr:colOff>0</xdr:colOff>
      <xdr:row>20</xdr:row>
      <xdr:rowOff>152400</xdr:rowOff>
    </xdr:from>
    <xdr:to>
      <xdr:col>0</xdr:col>
      <xdr:colOff>2771775</xdr:colOff>
      <xdr:row>26</xdr:row>
      <xdr:rowOff>142875</xdr:rowOff>
    </xdr:to>
    <xdr:sp macro="" textlink="">
      <xdr:nvSpPr>
        <xdr:cNvPr id="3" name="Rounded Rectangular Callout 2"/>
        <xdr:cNvSpPr/>
      </xdr:nvSpPr>
      <xdr:spPr>
        <a:xfrm>
          <a:off x="0" y="3933825"/>
          <a:ext cx="2771775" cy="1000125"/>
        </a:xfrm>
        <a:prstGeom prst="wedgeRoundRectCallout">
          <a:avLst>
            <a:gd name="adj1" fmla="val 118979"/>
            <a:gd name="adj2" fmla="val -499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9525</xdr:rowOff>
    </xdr:from>
    <xdr:to>
      <xdr:col>0</xdr:col>
      <xdr:colOff>2781300</xdr:colOff>
      <xdr:row>9</xdr:row>
      <xdr:rowOff>1</xdr:rowOff>
    </xdr:to>
    <xdr:sp macro="" textlink="">
      <xdr:nvSpPr>
        <xdr:cNvPr id="2" name="Rounded Rectangular Callout 1"/>
        <xdr:cNvSpPr/>
      </xdr:nvSpPr>
      <xdr:spPr>
        <a:xfrm>
          <a:off x="9525" y="247650"/>
          <a:ext cx="2771775" cy="1504951"/>
        </a:xfrm>
        <a:prstGeom prst="wedgeRoundRectCallout">
          <a:avLst>
            <a:gd name="adj1" fmla="val 54799"/>
            <a:gd name="adj2" fmla="val 6256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solidFill>
                <a:srgbClr val="FFFF00"/>
              </a:solidFill>
            </a:rPr>
            <a:t>Cells with a blue background use dropdown menus to enter data</a:t>
          </a:r>
        </a:p>
        <a:p>
          <a:pPr algn="ctr"/>
          <a:endParaRPr lang="en-US" sz="2000">
            <a:solidFill>
              <a:srgbClr val="FFFF00"/>
            </a:solidFill>
          </a:endParaRPr>
        </a:p>
      </xdr:txBody>
    </xdr:sp>
    <xdr:clientData/>
  </xdr:twoCellAnchor>
  <xdr:twoCellAnchor>
    <xdr:from>
      <xdr:col>0</xdr:col>
      <xdr:colOff>0</xdr:colOff>
      <xdr:row>19</xdr:row>
      <xdr:rowOff>0</xdr:rowOff>
    </xdr:from>
    <xdr:to>
      <xdr:col>1</xdr:col>
      <xdr:colOff>152400</xdr:colOff>
      <xdr:row>22</xdr:row>
      <xdr:rowOff>152400</xdr:rowOff>
    </xdr:to>
    <xdr:sp macro="" textlink="">
      <xdr:nvSpPr>
        <xdr:cNvPr id="3" name="Rounded Rectangular Callout 2"/>
        <xdr:cNvSpPr/>
      </xdr:nvSpPr>
      <xdr:spPr>
        <a:xfrm>
          <a:off x="0" y="3429000"/>
          <a:ext cx="3038475" cy="638175"/>
        </a:xfrm>
        <a:prstGeom prst="wedgeRoundRectCallout">
          <a:avLst>
            <a:gd name="adj1" fmla="val 109575"/>
            <a:gd name="adj2" fmla="val -2663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twoCellAnchor>
    <xdr:from>
      <xdr:col>6</xdr:col>
      <xdr:colOff>257175</xdr:colOff>
      <xdr:row>16</xdr:row>
      <xdr:rowOff>66675</xdr:rowOff>
    </xdr:from>
    <xdr:to>
      <xdr:col>10</xdr:col>
      <xdr:colOff>47625</xdr:colOff>
      <xdr:row>21</xdr:row>
      <xdr:rowOff>114300</xdr:rowOff>
    </xdr:to>
    <xdr:sp macro="" textlink="">
      <xdr:nvSpPr>
        <xdr:cNvPr id="4" name="TextBox 3"/>
        <xdr:cNvSpPr txBox="1"/>
      </xdr:nvSpPr>
      <xdr:spPr>
        <a:xfrm>
          <a:off x="7591425" y="3009900"/>
          <a:ext cx="2809875" cy="857250"/>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No totals will appear on</a:t>
          </a:r>
          <a:r>
            <a:rPr lang="en-US" sz="1100" b="1" baseline="0"/>
            <a:t> this page if the question "Are replacement ewes purchased?"on the input page is answered "Yes".</a:t>
          </a:r>
          <a:endParaRPr lang="en-US" sz="1100" b="1"/>
        </a:p>
      </xdr:txBody>
    </xdr:sp>
    <xdr:clientData/>
  </xdr:twoCellAnchor>
  <xdr:twoCellAnchor>
    <xdr:from>
      <xdr:col>8</xdr:col>
      <xdr:colOff>4</xdr:colOff>
      <xdr:row>10</xdr:row>
      <xdr:rowOff>133350</xdr:rowOff>
    </xdr:from>
    <xdr:to>
      <xdr:col>9</xdr:col>
      <xdr:colOff>71439</xdr:colOff>
      <xdr:row>16</xdr:row>
      <xdr:rowOff>66675</xdr:rowOff>
    </xdr:to>
    <xdr:cxnSp macro="">
      <xdr:nvCxnSpPr>
        <xdr:cNvPr id="5" name="Straight Arrow Connector 4"/>
        <xdr:cNvCxnSpPr>
          <a:stCxn id="4" idx="0"/>
        </xdr:cNvCxnSpPr>
      </xdr:nvCxnSpPr>
      <xdr:spPr>
        <a:xfrm rot="16200000" flipV="1">
          <a:off x="8331996" y="2345533"/>
          <a:ext cx="962025" cy="366710"/>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10</xdr:row>
      <xdr:rowOff>95250</xdr:rowOff>
    </xdr:from>
    <xdr:to>
      <xdr:col>0</xdr:col>
      <xdr:colOff>3057525</xdr:colOff>
      <xdr:row>14</xdr:row>
      <xdr:rowOff>85725</xdr:rowOff>
    </xdr:to>
    <xdr:sp macro="" textlink="">
      <xdr:nvSpPr>
        <xdr:cNvPr id="2" name="Rounded Rectangular Callout 1"/>
        <xdr:cNvSpPr/>
      </xdr:nvSpPr>
      <xdr:spPr>
        <a:xfrm>
          <a:off x="19050" y="2743200"/>
          <a:ext cx="3038475" cy="638175"/>
        </a:xfrm>
        <a:prstGeom prst="wedgeRoundRectCallout">
          <a:avLst>
            <a:gd name="adj1" fmla="val 113336"/>
            <a:gd name="adj2" fmla="val 6495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twoCellAnchor>
    <xdr:from>
      <xdr:col>0</xdr:col>
      <xdr:colOff>57151</xdr:colOff>
      <xdr:row>16</xdr:row>
      <xdr:rowOff>85725</xdr:rowOff>
    </xdr:from>
    <xdr:to>
      <xdr:col>0</xdr:col>
      <xdr:colOff>2838451</xdr:colOff>
      <xdr:row>25</xdr:row>
      <xdr:rowOff>95251</xdr:rowOff>
    </xdr:to>
    <xdr:sp macro="" textlink="">
      <xdr:nvSpPr>
        <xdr:cNvPr id="4" name="Rounded Rectangular Callout 3"/>
        <xdr:cNvSpPr/>
      </xdr:nvSpPr>
      <xdr:spPr>
        <a:xfrm>
          <a:off x="57151" y="3724275"/>
          <a:ext cx="2781300" cy="1504951"/>
        </a:xfrm>
        <a:prstGeom prst="wedgeRoundRectCallout">
          <a:avLst>
            <a:gd name="adj1" fmla="val 61660"/>
            <a:gd name="adj2" fmla="val -2667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solidFill>
                <a:srgbClr val="FFFF00"/>
              </a:solidFill>
            </a:rPr>
            <a:t>Cells with a blue background use dropdown menus to enter data</a:t>
          </a:r>
        </a:p>
        <a:p>
          <a:pPr algn="ctr"/>
          <a:endParaRPr lang="en-US" sz="2000">
            <a:solidFill>
              <a:srgbClr val="FFFF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xdr:row>
      <xdr:rowOff>9525</xdr:rowOff>
    </xdr:from>
    <xdr:to>
      <xdr:col>0</xdr:col>
      <xdr:colOff>2771775</xdr:colOff>
      <xdr:row>14</xdr:row>
      <xdr:rowOff>190501</xdr:rowOff>
    </xdr:to>
    <xdr:sp macro="" textlink="">
      <xdr:nvSpPr>
        <xdr:cNvPr id="2" name="Rounded Rectangular Callout 1"/>
        <xdr:cNvSpPr/>
      </xdr:nvSpPr>
      <xdr:spPr>
        <a:xfrm>
          <a:off x="0" y="1571625"/>
          <a:ext cx="2771775" cy="1504951"/>
        </a:xfrm>
        <a:prstGeom prst="wedgeRoundRectCallout">
          <a:avLst>
            <a:gd name="adj1" fmla="val 54799"/>
            <a:gd name="adj2" fmla="val 6256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solidFill>
                <a:srgbClr val="FFFF00"/>
              </a:solidFill>
            </a:rPr>
            <a:t>Cells with a blue background use dropdown menus to enter data</a:t>
          </a:r>
        </a:p>
        <a:p>
          <a:pPr algn="ctr"/>
          <a:endParaRPr lang="en-US" sz="2000">
            <a:solidFill>
              <a:srgbClr val="FFFF00"/>
            </a:solidFill>
          </a:endParaRPr>
        </a:p>
      </xdr:txBody>
    </xdr:sp>
    <xdr:clientData/>
  </xdr:twoCellAnchor>
  <xdr:twoCellAnchor>
    <xdr:from>
      <xdr:col>0</xdr:col>
      <xdr:colOff>9526</xdr:colOff>
      <xdr:row>21</xdr:row>
      <xdr:rowOff>9524</xdr:rowOff>
    </xdr:from>
    <xdr:to>
      <xdr:col>0</xdr:col>
      <xdr:colOff>2809875</xdr:colOff>
      <xdr:row>26</xdr:row>
      <xdr:rowOff>95249</xdr:rowOff>
    </xdr:to>
    <xdr:sp macro="" textlink="">
      <xdr:nvSpPr>
        <xdr:cNvPr id="3" name="Rounded Rectangular Callout 2"/>
        <xdr:cNvSpPr/>
      </xdr:nvSpPr>
      <xdr:spPr>
        <a:xfrm>
          <a:off x="9526" y="4248149"/>
          <a:ext cx="2800349" cy="904875"/>
        </a:xfrm>
        <a:prstGeom prst="wedgeRoundRectCallout">
          <a:avLst>
            <a:gd name="adj1" fmla="val 117934"/>
            <a:gd name="adj2" fmla="val -5892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
  <sheetViews>
    <sheetView tabSelected="1" workbookViewId="0"/>
  </sheetViews>
  <sheetFormatPr defaultRowHeight="12.75"/>
  <cols>
    <col min="1" max="16384" width="9.140625" style="79"/>
  </cols>
  <sheetData/>
  <sheetProtection sheet="1" objects="1" scenarios="1"/>
  <pageMargins left="0.7" right="0.7" top="0.75" bottom="0.75" header="0.3" footer="0.3"/>
  <pageSetup scale="63" orientation="portrait" r:id="rId1"/>
  <drawing r:id="rId2"/>
</worksheet>
</file>

<file path=xl/worksheets/sheet2.xml><?xml version="1.0" encoding="utf-8"?>
<worksheet xmlns="http://schemas.openxmlformats.org/spreadsheetml/2006/main" xmlns:r="http://schemas.openxmlformats.org/officeDocument/2006/relationships">
  <sheetPr codeName="Sheet1"/>
  <dimension ref="B1:P83"/>
  <sheetViews>
    <sheetView zoomScaleNormal="100" workbookViewId="0"/>
  </sheetViews>
  <sheetFormatPr defaultRowHeight="12.75"/>
  <cols>
    <col min="1" max="1" width="5.85546875" style="283" customWidth="1"/>
    <col min="2" max="2" width="33.85546875" style="283" customWidth="1"/>
    <col min="3" max="3" width="13.140625" style="283" customWidth="1"/>
    <col min="4" max="4" width="13.28515625" style="283" customWidth="1"/>
    <col min="5" max="5" width="11.140625" style="283" customWidth="1"/>
    <col min="6" max="6" width="11.7109375" style="283" customWidth="1"/>
    <col min="7" max="7" width="10.5703125" style="283" customWidth="1"/>
    <col min="8" max="8" width="9.5703125" style="283" customWidth="1"/>
    <col min="9" max="9" width="5" style="283" customWidth="1"/>
    <col min="10" max="10" width="4.28515625" style="283" customWidth="1"/>
    <col min="11" max="11" width="10" style="283" customWidth="1"/>
    <col min="12" max="13" width="9.140625" style="283"/>
    <col min="14" max="14" width="21.140625" style="283" bestFit="1" customWidth="1"/>
    <col min="15" max="15" width="16.5703125" style="283" customWidth="1"/>
    <col min="16" max="16" width="19.7109375" style="283" customWidth="1"/>
    <col min="17" max="16384" width="9.140625" style="283"/>
  </cols>
  <sheetData>
    <row r="1" spans="2:11" ht="30.75" thickBot="1">
      <c r="B1" s="174" t="s">
        <v>69</v>
      </c>
      <c r="C1" s="25"/>
      <c r="D1" s="25"/>
      <c r="E1" s="25"/>
      <c r="F1" s="25"/>
      <c r="G1" s="25"/>
      <c r="H1" s="25"/>
    </row>
    <row r="2" spans="2:11" ht="18.75" thickBot="1">
      <c r="B2" s="52" t="s">
        <v>72</v>
      </c>
      <c r="C2" s="221"/>
      <c r="D2" s="221"/>
      <c r="E2" s="221"/>
      <c r="F2" s="221"/>
      <c r="G2" s="222"/>
      <c r="H2" s="26"/>
    </row>
    <row r="3" spans="2:11">
      <c r="B3" s="278" t="s">
        <v>104</v>
      </c>
      <c r="C3" s="279"/>
      <c r="D3" s="26"/>
      <c r="E3" s="233"/>
      <c r="F3" s="235">
        <v>30</v>
      </c>
      <c r="G3" s="29" t="s">
        <v>103</v>
      </c>
      <c r="H3" s="26"/>
    </row>
    <row r="4" spans="2:11">
      <c r="B4" s="278" t="s">
        <v>105</v>
      </c>
      <c r="C4" s="279"/>
      <c r="D4" s="26"/>
      <c r="E4" s="233"/>
      <c r="F4" s="229">
        <v>5</v>
      </c>
      <c r="G4" s="29" t="s">
        <v>103</v>
      </c>
      <c r="H4" s="26"/>
    </row>
    <row r="5" spans="2:11">
      <c r="B5" s="278" t="s">
        <v>106</v>
      </c>
      <c r="C5" s="279"/>
      <c r="D5" s="26"/>
      <c r="E5" s="233"/>
      <c r="F5" s="230">
        <v>1</v>
      </c>
      <c r="G5" s="29" t="s">
        <v>103</v>
      </c>
      <c r="H5" s="26"/>
    </row>
    <row r="6" spans="2:11" ht="25.5" customHeight="1">
      <c r="B6" s="237" t="s">
        <v>107</v>
      </c>
      <c r="C6" s="389" t="s">
        <v>163</v>
      </c>
      <c r="D6" s="389"/>
      <c r="E6" s="390"/>
      <c r="F6" s="272" t="s">
        <v>86</v>
      </c>
      <c r="G6" s="29"/>
      <c r="H6" s="26"/>
      <c r="K6" s="284" t="s">
        <v>85</v>
      </c>
    </row>
    <row r="7" spans="2:11" ht="25.5" customHeight="1">
      <c r="B7" s="237" t="s">
        <v>108</v>
      </c>
      <c r="C7" s="389" t="s">
        <v>98</v>
      </c>
      <c r="D7" s="389"/>
      <c r="E7" s="390"/>
      <c r="F7" s="230">
        <v>75</v>
      </c>
      <c r="G7" s="29" t="s">
        <v>1</v>
      </c>
      <c r="H7" s="26"/>
      <c r="K7" s="284" t="s">
        <v>86</v>
      </c>
    </row>
    <row r="8" spans="2:11">
      <c r="B8" s="30" t="s">
        <v>109</v>
      </c>
      <c r="C8" s="26"/>
      <c r="D8" s="26"/>
      <c r="E8" s="233"/>
      <c r="F8" s="229">
        <v>120</v>
      </c>
      <c r="G8" s="29" t="s">
        <v>0</v>
      </c>
      <c r="H8" s="26"/>
    </row>
    <row r="9" spans="2:11">
      <c r="B9" s="30" t="s">
        <v>110</v>
      </c>
      <c r="C9" s="26"/>
      <c r="D9" s="26"/>
      <c r="E9" s="233"/>
      <c r="F9" s="229">
        <v>65</v>
      </c>
      <c r="G9" s="29" t="s">
        <v>1</v>
      </c>
      <c r="H9" s="25"/>
    </row>
    <row r="10" spans="2:11">
      <c r="B10" s="278" t="s">
        <v>111</v>
      </c>
      <c r="C10" s="279"/>
      <c r="D10" s="26"/>
      <c r="E10" s="233"/>
      <c r="F10" s="229">
        <v>2</v>
      </c>
      <c r="G10" s="29" t="s">
        <v>123</v>
      </c>
      <c r="H10" s="25"/>
    </row>
    <row r="11" spans="2:11">
      <c r="B11" s="30" t="s">
        <v>112</v>
      </c>
      <c r="C11" s="26"/>
      <c r="D11" s="26"/>
      <c r="E11" s="233"/>
      <c r="F11" s="229">
        <v>150</v>
      </c>
      <c r="G11" s="29" t="s">
        <v>1</v>
      </c>
      <c r="H11" s="26"/>
    </row>
    <row r="12" spans="2:11">
      <c r="B12" s="278" t="s">
        <v>113</v>
      </c>
      <c r="C12" s="279"/>
      <c r="D12" s="26"/>
      <c r="E12" s="233"/>
      <c r="F12" s="229">
        <v>5</v>
      </c>
      <c r="G12" s="29" t="s">
        <v>2</v>
      </c>
      <c r="H12" s="26"/>
    </row>
    <row r="13" spans="2:11">
      <c r="B13" s="278" t="s">
        <v>114</v>
      </c>
      <c r="C13" s="279"/>
      <c r="D13" s="26"/>
      <c r="E13" s="233"/>
      <c r="F13" s="231">
        <v>0.02</v>
      </c>
      <c r="G13" s="29"/>
      <c r="H13" s="26"/>
    </row>
    <row r="14" spans="2:11">
      <c r="B14" s="278" t="s">
        <v>115</v>
      </c>
      <c r="C14" s="279"/>
      <c r="D14" s="26"/>
      <c r="E14" s="233"/>
      <c r="F14" s="229">
        <v>100</v>
      </c>
      <c r="G14" s="29" t="s">
        <v>3</v>
      </c>
      <c r="H14" s="26"/>
    </row>
    <row r="15" spans="2:11">
      <c r="B15" s="278" t="s">
        <v>116</v>
      </c>
      <c r="C15" s="279"/>
      <c r="D15" s="26"/>
      <c r="E15" s="233"/>
      <c r="F15" s="229">
        <v>50</v>
      </c>
      <c r="G15" s="29" t="s">
        <v>29</v>
      </c>
      <c r="H15" s="26"/>
    </row>
    <row r="16" spans="2:11">
      <c r="B16" s="278" t="s">
        <v>117</v>
      </c>
      <c r="C16" s="279"/>
      <c r="D16" s="26"/>
      <c r="E16" s="233"/>
      <c r="F16" s="229">
        <v>45</v>
      </c>
      <c r="G16" s="29" t="s">
        <v>0</v>
      </c>
      <c r="H16" s="25"/>
    </row>
    <row r="17" spans="2:15" ht="13.5" thickBot="1">
      <c r="B17" s="280" t="s">
        <v>118</v>
      </c>
      <c r="C17" s="281"/>
      <c r="D17" s="127"/>
      <c r="E17" s="234"/>
      <c r="F17" s="232">
        <v>1.45</v>
      </c>
      <c r="G17" s="32" t="s">
        <v>153</v>
      </c>
      <c r="H17" s="25"/>
    </row>
    <row r="18" spans="2:15" ht="13.5" thickBot="1">
      <c r="B18" s="27"/>
      <c r="C18" s="27"/>
      <c r="D18" s="27"/>
      <c r="E18" s="27"/>
      <c r="F18" s="27"/>
      <c r="G18" s="25"/>
      <c r="H18" s="25"/>
    </row>
    <row r="19" spans="2:15" ht="18.75" thickBot="1">
      <c r="B19" s="52" t="s">
        <v>119</v>
      </c>
      <c r="C19" s="52"/>
      <c r="D19" s="52"/>
      <c r="E19" s="52"/>
      <c r="F19" s="52"/>
      <c r="G19" s="236"/>
      <c r="H19" s="26"/>
      <c r="I19" s="285"/>
    </row>
    <row r="20" spans="2:15">
      <c r="B20" s="30" t="s">
        <v>175</v>
      </c>
      <c r="C20" s="26"/>
      <c r="D20" s="25"/>
      <c r="E20" s="375" t="str">
        <f>IF(F6="Yes",IF(F20&gt;F15,"Entry is more than kids available.",""),IF(F20&gt;F15-F5-F4,"Entry is more than kids available.",""))</f>
        <v/>
      </c>
      <c r="F20" s="123">
        <v>44</v>
      </c>
      <c r="G20" s="35"/>
      <c r="H20" s="26"/>
      <c r="I20" s="285"/>
    </row>
    <row r="21" spans="2:15">
      <c r="B21" s="30" t="s">
        <v>176</v>
      </c>
      <c r="C21" s="26"/>
      <c r="D21" s="25"/>
      <c r="E21" s="25"/>
      <c r="F21" s="123">
        <v>25</v>
      </c>
      <c r="G21" s="35" t="s">
        <v>5</v>
      </c>
      <c r="H21" s="172"/>
      <c r="I21" s="286"/>
    </row>
    <row r="22" spans="2:15">
      <c r="B22" s="30" t="s">
        <v>177</v>
      </c>
      <c r="C22" s="26"/>
      <c r="D22" s="25"/>
      <c r="E22" s="25"/>
      <c r="F22" s="243">
        <v>1.45</v>
      </c>
      <c r="G22" s="35" t="s">
        <v>153</v>
      </c>
      <c r="H22" s="172"/>
      <c r="I22" s="287"/>
    </row>
    <row r="23" spans="2:15">
      <c r="B23" s="242" t="s">
        <v>152</v>
      </c>
      <c r="C23" s="176"/>
      <c r="D23" s="25"/>
      <c r="E23" s="25"/>
      <c r="F23" s="173">
        <v>45</v>
      </c>
      <c r="G23" s="29"/>
      <c r="H23" s="176"/>
      <c r="I23" s="287"/>
    </row>
    <row r="24" spans="2:15">
      <c r="B24" s="30" t="s">
        <v>62</v>
      </c>
      <c r="C24" s="26"/>
      <c r="D24" s="25"/>
      <c r="E24" s="25"/>
      <c r="F24" s="1">
        <v>90</v>
      </c>
      <c r="G24" s="35" t="s">
        <v>63</v>
      </c>
      <c r="H24" s="172"/>
      <c r="I24" s="287"/>
    </row>
    <row r="25" spans="2:15">
      <c r="B25" s="240" t="s">
        <v>120</v>
      </c>
      <c r="C25" s="28"/>
      <c r="D25" s="25"/>
      <c r="E25" s="374" t="str">
        <f>IF(F25&gt;F20+F21,"Entry is greater than animals available","")</f>
        <v/>
      </c>
      <c r="F25" s="1">
        <v>69</v>
      </c>
      <c r="G25" s="35" t="s">
        <v>5</v>
      </c>
      <c r="H25" s="27"/>
    </row>
    <row r="26" spans="2:15">
      <c r="B26" s="240" t="s">
        <v>121</v>
      </c>
      <c r="C26" s="28"/>
      <c r="D26" s="25"/>
      <c r="E26" s="27"/>
      <c r="F26" s="1">
        <v>75</v>
      </c>
      <c r="G26" s="35" t="s">
        <v>0</v>
      </c>
      <c r="H26" s="25"/>
    </row>
    <row r="27" spans="2:15" ht="13.5" thickBot="1">
      <c r="B27" s="241" t="s">
        <v>122</v>
      </c>
      <c r="C27" s="31"/>
      <c r="D27" s="219"/>
      <c r="E27" s="219"/>
      <c r="F27" s="244">
        <v>1.7</v>
      </c>
      <c r="G27" s="36" t="s">
        <v>153</v>
      </c>
      <c r="H27" s="28"/>
      <c r="I27" s="285"/>
      <c r="M27" s="288"/>
      <c r="N27" s="282"/>
      <c r="O27" s="282"/>
    </row>
    <row r="28" spans="2:15" ht="13.5" thickBot="1">
      <c r="B28" s="25"/>
      <c r="C28" s="25"/>
      <c r="D28" s="25"/>
      <c r="E28" s="25"/>
      <c r="F28" s="25"/>
      <c r="G28" s="25"/>
      <c r="H28" s="25"/>
      <c r="I28" s="285"/>
    </row>
    <row r="29" spans="2:15" ht="18" customHeight="1" thickBot="1">
      <c r="B29" s="52" t="s">
        <v>6</v>
      </c>
      <c r="C29" s="221"/>
      <c r="D29" s="221"/>
      <c r="E29" s="221"/>
      <c r="F29" s="221"/>
      <c r="G29" s="222"/>
      <c r="H29" s="25"/>
      <c r="I29" s="289"/>
      <c r="J29" s="289"/>
      <c r="K29" s="289"/>
      <c r="L29" s="290"/>
      <c r="M29" s="285"/>
    </row>
    <row r="30" spans="2:15" ht="51.75" customHeight="1" thickBot="1">
      <c r="B30" s="37" t="s">
        <v>7</v>
      </c>
      <c r="C30" s="38" t="s">
        <v>8</v>
      </c>
      <c r="D30" s="38" t="s">
        <v>73</v>
      </c>
      <c r="E30" s="38" t="s">
        <v>71</v>
      </c>
      <c r="F30" s="38" t="s">
        <v>9</v>
      </c>
      <c r="G30" s="39" t="s">
        <v>34</v>
      </c>
      <c r="H30" s="167"/>
      <c r="I30" s="291"/>
      <c r="J30" s="291"/>
      <c r="K30" s="291"/>
      <c r="L30" s="291"/>
      <c r="M30" s="285"/>
    </row>
    <row r="31" spans="2:15" ht="13.5" thickTop="1">
      <c r="B31" s="4" t="s">
        <v>99</v>
      </c>
      <c r="C31" s="5" t="s">
        <v>157</v>
      </c>
      <c r="D31" s="123" t="s">
        <v>74</v>
      </c>
      <c r="E31" s="123" t="s">
        <v>100</v>
      </c>
      <c r="F31" s="6"/>
      <c r="G31" s="72" t="str">
        <f>IF(F31=0,"",C31/F31)</f>
        <v/>
      </c>
      <c r="H31" s="25"/>
      <c r="I31" s="292"/>
      <c r="J31" s="290"/>
      <c r="K31" s="290"/>
      <c r="L31" s="293"/>
      <c r="M31" s="285"/>
    </row>
    <row r="32" spans="2:15">
      <c r="B32" s="7" t="s">
        <v>181</v>
      </c>
      <c r="C32" s="8">
        <v>2</v>
      </c>
      <c r="D32" s="1" t="s">
        <v>124</v>
      </c>
      <c r="E32" s="1" t="s">
        <v>75</v>
      </c>
      <c r="F32" s="9">
        <v>60</v>
      </c>
      <c r="G32" s="72">
        <f t="shared" ref="G32:G40" si="0">IF(F32=0,"",C32/F32)</f>
        <v>3.3333333333333333E-2</v>
      </c>
      <c r="H32" s="25"/>
      <c r="I32" s="292"/>
      <c r="J32" s="290"/>
      <c r="K32" s="290"/>
      <c r="L32" s="293"/>
      <c r="M32" s="285"/>
    </row>
    <row r="33" spans="2:16">
      <c r="B33" s="7" t="s">
        <v>76</v>
      </c>
      <c r="C33" s="8">
        <v>3</v>
      </c>
      <c r="D33" s="1" t="s">
        <v>124</v>
      </c>
      <c r="E33" s="1" t="s">
        <v>75</v>
      </c>
      <c r="F33" s="9">
        <v>75</v>
      </c>
      <c r="G33" s="72">
        <f t="shared" si="0"/>
        <v>0.04</v>
      </c>
      <c r="H33" s="25"/>
      <c r="I33" s="292"/>
      <c r="J33" s="290"/>
      <c r="K33" s="290"/>
      <c r="L33" s="293"/>
      <c r="M33" s="285"/>
    </row>
    <row r="34" spans="2:16">
      <c r="B34" s="7" t="s">
        <v>125</v>
      </c>
      <c r="C34" s="8">
        <v>0.22</v>
      </c>
      <c r="D34" s="1" t="s">
        <v>75</v>
      </c>
      <c r="E34" s="1" t="s">
        <v>75</v>
      </c>
      <c r="F34" s="9">
        <v>1</v>
      </c>
      <c r="G34" s="72">
        <f t="shared" si="0"/>
        <v>0.22</v>
      </c>
      <c r="H34" s="25"/>
      <c r="I34" s="292"/>
      <c r="J34" s="290"/>
      <c r="K34" s="290"/>
      <c r="L34" s="293"/>
      <c r="M34" s="285"/>
    </row>
    <row r="35" spans="2:16">
      <c r="B35" s="7" t="s">
        <v>94</v>
      </c>
      <c r="C35" s="8">
        <v>0.63</v>
      </c>
      <c r="D35" s="1" t="s">
        <v>75</v>
      </c>
      <c r="E35" s="1" t="s">
        <v>75</v>
      </c>
      <c r="F35" s="9">
        <v>1</v>
      </c>
      <c r="G35" s="72">
        <f t="shared" si="0"/>
        <v>0.63</v>
      </c>
      <c r="H35" s="25"/>
      <c r="I35" s="292"/>
      <c r="J35" s="290"/>
      <c r="K35" s="290"/>
      <c r="L35" s="293"/>
      <c r="M35" s="285"/>
    </row>
    <row r="36" spans="2:16">
      <c r="B36" s="7" t="s">
        <v>91</v>
      </c>
      <c r="C36" s="8">
        <v>3.45</v>
      </c>
      <c r="D36" s="1" t="s">
        <v>92</v>
      </c>
      <c r="E36" s="1" t="s">
        <v>92</v>
      </c>
      <c r="F36" s="9">
        <v>1</v>
      </c>
      <c r="G36" s="72">
        <f t="shared" si="0"/>
        <v>3.45</v>
      </c>
      <c r="H36" s="25"/>
      <c r="I36" s="292"/>
      <c r="J36" s="290"/>
      <c r="K36" s="290"/>
      <c r="L36" s="293"/>
      <c r="M36" s="285"/>
    </row>
    <row r="37" spans="2:16">
      <c r="B37" s="7" t="s">
        <v>102</v>
      </c>
      <c r="C37" s="8" t="s">
        <v>157</v>
      </c>
      <c r="D37" s="1" t="s">
        <v>74</v>
      </c>
      <c r="E37" s="1" t="s">
        <v>100</v>
      </c>
      <c r="F37" s="9"/>
      <c r="G37" s="72" t="str">
        <f t="shared" si="0"/>
        <v/>
      </c>
      <c r="H37" s="25"/>
      <c r="I37" s="292"/>
      <c r="J37" s="290"/>
      <c r="K37" s="290"/>
      <c r="L37" s="293"/>
      <c r="M37" s="285"/>
    </row>
    <row r="38" spans="2:16">
      <c r="B38" s="7" t="s">
        <v>101</v>
      </c>
      <c r="C38" s="8" t="s">
        <v>157</v>
      </c>
      <c r="D38" s="1" t="s">
        <v>74</v>
      </c>
      <c r="E38" s="1" t="s">
        <v>100</v>
      </c>
      <c r="F38" s="9"/>
      <c r="G38" s="72" t="str">
        <f t="shared" si="0"/>
        <v/>
      </c>
      <c r="H38" s="25"/>
      <c r="I38" s="292"/>
      <c r="J38" s="290"/>
      <c r="K38" s="290"/>
      <c r="L38" s="293"/>
      <c r="M38" s="285"/>
    </row>
    <row r="39" spans="2:16">
      <c r="B39" s="7" t="s">
        <v>158</v>
      </c>
      <c r="C39" s="8" t="s">
        <v>157</v>
      </c>
      <c r="D39" s="1" t="s">
        <v>74</v>
      </c>
      <c r="E39" s="1" t="s">
        <v>100</v>
      </c>
      <c r="F39" s="9"/>
      <c r="G39" s="72" t="str">
        <f t="shared" si="0"/>
        <v/>
      </c>
      <c r="H39" s="25"/>
      <c r="I39" s="292"/>
      <c r="J39" s="290"/>
      <c r="K39" s="290"/>
      <c r="L39" s="293"/>
      <c r="M39" s="285"/>
    </row>
    <row r="40" spans="2:16">
      <c r="B40" s="7"/>
      <c r="C40" s="8"/>
      <c r="D40" s="1"/>
      <c r="E40" s="1"/>
      <c r="F40" s="9"/>
      <c r="G40" s="72" t="str">
        <f t="shared" si="0"/>
        <v/>
      </c>
      <c r="H40" s="25"/>
      <c r="I40" s="292"/>
      <c r="J40" s="290"/>
      <c r="K40" s="290"/>
      <c r="L40" s="293"/>
      <c r="M40" s="285"/>
    </row>
    <row r="41" spans="2:16" ht="13.5" thickBot="1">
      <c r="B41" s="26"/>
      <c r="C41" s="26"/>
      <c r="D41" s="26"/>
      <c r="E41" s="26"/>
      <c r="F41" s="26"/>
      <c r="G41" s="26"/>
      <c r="H41" s="25"/>
      <c r="I41" s="285"/>
      <c r="N41" s="282"/>
      <c r="O41" s="282"/>
      <c r="P41" s="282"/>
    </row>
    <row r="42" spans="2:16" ht="18.75" thickBot="1">
      <c r="B42" s="24" t="s">
        <v>30</v>
      </c>
      <c r="C42" s="33"/>
      <c r="D42" s="33"/>
      <c r="E42" s="33"/>
      <c r="F42" s="34"/>
      <c r="G42" s="26"/>
      <c r="H42" s="168"/>
      <c r="I42" s="294"/>
      <c r="N42" s="282"/>
      <c r="O42" s="282"/>
      <c r="P42" s="282"/>
    </row>
    <row r="43" spans="2:16" ht="55.5" customHeight="1" thickBot="1">
      <c r="B43" s="37" t="s">
        <v>7</v>
      </c>
      <c r="C43" s="38" t="s">
        <v>31</v>
      </c>
      <c r="D43" s="38" t="s">
        <v>79</v>
      </c>
      <c r="E43" s="38" t="s">
        <v>144</v>
      </c>
      <c r="F43" s="39" t="s">
        <v>32</v>
      </c>
      <c r="G43" s="40"/>
      <c r="H43" s="27"/>
      <c r="I43" s="295"/>
      <c r="J43" s="296"/>
      <c r="N43" s="282"/>
      <c r="O43" s="282"/>
      <c r="P43" s="282"/>
    </row>
    <row r="44" spans="2:16" ht="13.5" thickTop="1">
      <c r="B44" s="41" t="s">
        <v>11</v>
      </c>
      <c r="C44" s="22">
        <v>500</v>
      </c>
      <c r="D44" s="273" t="s">
        <v>77</v>
      </c>
      <c r="E44" s="14">
        <v>0.75</v>
      </c>
      <c r="F44" s="42">
        <f>IF(E44="","",1-E44)</f>
        <v>0.25</v>
      </c>
      <c r="G44" s="43"/>
      <c r="H44" s="25"/>
      <c r="I44" s="373" t="s">
        <v>78</v>
      </c>
      <c r="J44" s="285"/>
      <c r="N44" s="282"/>
      <c r="O44" s="282"/>
      <c r="P44" s="282"/>
    </row>
    <row r="45" spans="2:16">
      <c r="B45" s="41" t="s">
        <v>12</v>
      </c>
      <c r="C45" s="23">
        <v>300</v>
      </c>
      <c r="D45" s="273" t="s">
        <v>77</v>
      </c>
      <c r="E45" s="15">
        <v>0.75</v>
      </c>
      <c r="F45" s="42">
        <f t="shared" ref="F45:F58" si="1">IF(E45="","",1-E45)</f>
        <v>0.25</v>
      </c>
      <c r="G45" s="43"/>
      <c r="H45" s="26"/>
      <c r="I45" s="373" t="s">
        <v>77</v>
      </c>
      <c r="J45" s="285"/>
    </row>
    <row r="46" spans="2:16">
      <c r="B46" s="41" t="s">
        <v>130</v>
      </c>
      <c r="C46" s="23">
        <v>150</v>
      </c>
      <c r="D46" s="273" t="s">
        <v>77</v>
      </c>
      <c r="E46" s="15">
        <v>0.75</v>
      </c>
      <c r="F46" s="42">
        <f t="shared" si="1"/>
        <v>0.25</v>
      </c>
      <c r="G46" s="43"/>
      <c r="H46" s="26"/>
      <c r="I46" s="285"/>
      <c r="J46" s="285"/>
    </row>
    <row r="47" spans="2:16">
      <c r="B47" s="41" t="s">
        <v>126</v>
      </c>
      <c r="C47" s="23">
        <v>400</v>
      </c>
      <c r="D47" s="273" t="s">
        <v>77</v>
      </c>
      <c r="E47" s="44">
        <v>1</v>
      </c>
      <c r="F47" s="42">
        <f t="shared" si="1"/>
        <v>0</v>
      </c>
      <c r="G47" s="43"/>
      <c r="H47" s="26"/>
      <c r="I47" s="285"/>
      <c r="J47" s="285"/>
    </row>
    <row r="48" spans="2:16">
      <c r="B48" s="41" t="s">
        <v>127</v>
      </c>
      <c r="C48" s="23">
        <v>75</v>
      </c>
      <c r="D48" s="273" t="s">
        <v>77</v>
      </c>
      <c r="E48" s="44">
        <v>0</v>
      </c>
      <c r="F48" s="42">
        <f t="shared" si="1"/>
        <v>1</v>
      </c>
      <c r="G48" s="43"/>
      <c r="H48" s="27"/>
      <c r="I48" s="285"/>
      <c r="J48" s="285"/>
    </row>
    <row r="49" spans="2:14">
      <c r="B49" s="41" t="s">
        <v>128</v>
      </c>
      <c r="C49" s="23">
        <v>5</v>
      </c>
      <c r="D49" s="273" t="s">
        <v>78</v>
      </c>
      <c r="E49" s="44">
        <v>1</v>
      </c>
      <c r="F49" s="42">
        <f t="shared" si="1"/>
        <v>0</v>
      </c>
      <c r="G49" s="43"/>
      <c r="H49" s="26"/>
      <c r="I49" s="285"/>
      <c r="J49" s="285"/>
    </row>
    <row r="50" spans="2:14">
      <c r="B50" s="41" t="s">
        <v>129</v>
      </c>
      <c r="C50" s="23">
        <v>5</v>
      </c>
      <c r="D50" s="273" t="s">
        <v>78</v>
      </c>
      <c r="E50" s="44">
        <v>1</v>
      </c>
      <c r="F50" s="42">
        <f t="shared" si="1"/>
        <v>0</v>
      </c>
      <c r="G50" s="43"/>
      <c r="H50" s="27"/>
      <c r="I50" s="285"/>
      <c r="J50" s="285"/>
    </row>
    <row r="51" spans="2:14">
      <c r="B51" s="4" t="s">
        <v>93</v>
      </c>
      <c r="C51" s="8">
        <v>100</v>
      </c>
      <c r="D51" s="273" t="s">
        <v>77</v>
      </c>
      <c r="E51" s="15">
        <v>0.75</v>
      </c>
      <c r="F51" s="42">
        <f t="shared" si="1"/>
        <v>0.25</v>
      </c>
      <c r="G51" s="43"/>
      <c r="H51" s="26"/>
      <c r="I51" s="285"/>
      <c r="J51" s="285"/>
    </row>
    <row r="52" spans="2:14">
      <c r="B52" s="4"/>
      <c r="C52" s="8"/>
      <c r="D52" s="273"/>
      <c r="E52" s="15"/>
      <c r="F52" s="42" t="str">
        <f t="shared" si="1"/>
        <v/>
      </c>
      <c r="G52" s="43"/>
      <c r="H52" s="26"/>
      <c r="I52" s="285"/>
      <c r="J52" s="285"/>
    </row>
    <row r="53" spans="2:14">
      <c r="B53" s="7"/>
      <c r="C53" s="8"/>
      <c r="D53" s="273"/>
      <c r="E53" s="15"/>
      <c r="F53" s="42" t="str">
        <f t="shared" si="1"/>
        <v/>
      </c>
      <c r="G53" s="43"/>
      <c r="H53" s="26"/>
      <c r="I53" s="285"/>
      <c r="J53" s="285"/>
    </row>
    <row r="54" spans="2:14">
      <c r="B54" s="7"/>
      <c r="C54" s="8"/>
      <c r="D54" s="273"/>
      <c r="E54" s="15"/>
      <c r="F54" s="42" t="str">
        <f t="shared" si="1"/>
        <v/>
      </c>
      <c r="G54" s="43"/>
      <c r="H54" s="26"/>
      <c r="I54" s="285"/>
      <c r="J54" s="285"/>
    </row>
    <row r="55" spans="2:14">
      <c r="B55" s="7"/>
      <c r="C55" s="8"/>
      <c r="D55" s="273"/>
      <c r="E55" s="15"/>
      <c r="F55" s="42" t="str">
        <f t="shared" si="1"/>
        <v/>
      </c>
      <c r="G55" s="43"/>
      <c r="H55" s="26"/>
      <c r="I55" s="285"/>
      <c r="J55" s="285"/>
    </row>
    <row r="56" spans="2:14">
      <c r="B56" s="7"/>
      <c r="C56" s="8"/>
      <c r="D56" s="273"/>
      <c r="E56" s="15"/>
      <c r="F56" s="42" t="str">
        <f t="shared" si="1"/>
        <v/>
      </c>
      <c r="G56" s="43"/>
      <c r="H56" s="26"/>
      <c r="I56" s="285"/>
      <c r="J56" s="285"/>
    </row>
    <row r="57" spans="2:14">
      <c r="B57" s="7"/>
      <c r="C57" s="8"/>
      <c r="D57" s="273"/>
      <c r="E57" s="15"/>
      <c r="F57" s="42" t="str">
        <f t="shared" si="1"/>
        <v/>
      </c>
      <c r="G57" s="43"/>
      <c r="H57" s="26"/>
      <c r="I57" s="285"/>
      <c r="J57" s="285"/>
    </row>
    <row r="58" spans="2:14" ht="13.5" thickBot="1">
      <c r="B58" s="10"/>
      <c r="C58" s="11"/>
      <c r="D58" s="273"/>
      <c r="E58" s="119"/>
      <c r="F58" s="45" t="str">
        <f t="shared" si="1"/>
        <v/>
      </c>
      <c r="G58" s="43"/>
      <c r="H58" s="26"/>
      <c r="I58" s="285"/>
      <c r="J58" s="285"/>
    </row>
    <row r="59" spans="2:14" ht="13.5" thickBot="1">
      <c r="B59" s="25"/>
      <c r="C59" s="25"/>
      <c r="D59" s="25"/>
      <c r="E59" s="25"/>
      <c r="F59" s="25"/>
      <c r="G59" s="25"/>
      <c r="H59" s="25"/>
      <c r="I59" s="285"/>
    </row>
    <row r="60" spans="2:14" ht="18.75" thickBot="1">
      <c r="B60" s="46" t="s">
        <v>13</v>
      </c>
      <c r="C60" s="47"/>
      <c r="D60" s="47"/>
      <c r="E60" s="47"/>
      <c r="F60" s="48"/>
      <c r="G60" s="33"/>
      <c r="H60" s="34"/>
      <c r="I60" s="297"/>
      <c r="J60" s="298"/>
      <c r="L60" s="285"/>
      <c r="M60" s="285"/>
      <c r="N60" s="285"/>
    </row>
    <row r="61" spans="2:14" ht="52.5" customHeight="1" thickBot="1">
      <c r="B61" s="37" t="s">
        <v>7</v>
      </c>
      <c r="C61" s="38" t="s">
        <v>14</v>
      </c>
      <c r="D61" s="38" t="s">
        <v>15</v>
      </c>
      <c r="E61" s="38" t="s">
        <v>33</v>
      </c>
      <c r="F61" s="49" t="s">
        <v>16</v>
      </c>
      <c r="G61" s="38" t="s">
        <v>143</v>
      </c>
      <c r="H61" s="39" t="s">
        <v>32</v>
      </c>
      <c r="I61" s="299"/>
      <c r="J61" s="299"/>
    </row>
    <row r="62" spans="2:14" ht="13.5" thickTop="1">
      <c r="B62" s="41" t="s">
        <v>148</v>
      </c>
      <c r="C62" s="55">
        <v>5000</v>
      </c>
      <c r="D62" s="18">
        <v>4000</v>
      </c>
      <c r="E62" s="123">
        <v>5</v>
      </c>
      <c r="F62" s="145">
        <v>150</v>
      </c>
      <c r="G62" s="144">
        <v>1</v>
      </c>
      <c r="H62" s="126">
        <f t="shared" ref="H62:H70" si="2">IF(G62="","",1-G62)</f>
        <v>0</v>
      </c>
      <c r="I62" s="300"/>
      <c r="J62" s="300"/>
    </row>
    <row r="63" spans="2:14">
      <c r="B63" s="41" t="s">
        <v>18</v>
      </c>
      <c r="C63" s="56">
        <v>3000</v>
      </c>
      <c r="D63" s="13">
        <v>2500</v>
      </c>
      <c r="E63" s="1">
        <v>5</v>
      </c>
      <c r="F63" s="13">
        <v>200</v>
      </c>
      <c r="G63" s="144">
        <v>0</v>
      </c>
      <c r="H63" s="126">
        <f t="shared" si="2"/>
        <v>1</v>
      </c>
      <c r="I63" s="300"/>
      <c r="J63" s="300"/>
    </row>
    <row r="64" spans="2:14">
      <c r="B64" s="50" t="s">
        <v>156</v>
      </c>
      <c r="C64" s="56">
        <v>400</v>
      </c>
      <c r="D64" s="13">
        <v>300</v>
      </c>
      <c r="E64" s="1">
        <v>5</v>
      </c>
      <c r="F64" s="13">
        <v>50</v>
      </c>
      <c r="G64" s="144">
        <v>1</v>
      </c>
      <c r="H64" s="126">
        <f t="shared" si="2"/>
        <v>0</v>
      </c>
      <c r="I64" s="300"/>
      <c r="J64" s="300"/>
    </row>
    <row r="65" spans="2:10">
      <c r="B65" s="51" t="s">
        <v>155</v>
      </c>
      <c r="C65" s="56">
        <v>800</v>
      </c>
      <c r="D65" s="13">
        <v>400</v>
      </c>
      <c r="E65" s="1">
        <v>3</v>
      </c>
      <c r="F65" s="13">
        <f>30*2.5</f>
        <v>75</v>
      </c>
      <c r="G65" s="144">
        <v>0</v>
      </c>
      <c r="H65" s="126">
        <f t="shared" si="2"/>
        <v>1</v>
      </c>
      <c r="I65" s="300"/>
      <c r="J65" s="300"/>
    </row>
    <row r="66" spans="2:10">
      <c r="B66" s="4"/>
      <c r="C66" s="13"/>
      <c r="D66" s="13"/>
      <c r="E66" s="1"/>
      <c r="F66" s="13"/>
      <c r="G66" s="2"/>
      <c r="H66" s="126" t="str">
        <f t="shared" si="2"/>
        <v/>
      </c>
      <c r="I66" s="300"/>
      <c r="J66" s="300"/>
    </row>
    <row r="67" spans="2:10">
      <c r="B67" s="7"/>
      <c r="C67" s="13"/>
      <c r="D67" s="13"/>
      <c r="E67" s="1"/>
      <c r="F67" s="16"/>
      <c r="G67" s="2"/>
      <c r="H67" s="126" t="str">
        <f t="shared" si="2"/>
        <v/>
      </c>
      <c r="I67" s="300"/>
      <c r="J67" s="300"/>
    </row>
    <row r="68" spans="2:10">
      <c r="B68" s="7"/>
      <c r="C68" s="13"/>
      <c r="D68" s="13"/>
      <c r="E68" s="1"/>
      <c r="F68" s="16"/>
      <c r="G68" s="2"/>
      <c r="H68" s="126" t="str">
        <f t="shared" si="2"/>
        <v/>
      </c>
      <c r="I68" s="300"/>
      <c r="J68" s="300"/>
    </row>
    <row r="69" spans="2:10">
      <c r="B69" s="7"/>
      <c r="C69" s="13"/>
      <c r="D69" s="13"/>
      <c r="E69" s="1"/>
      <c r="F69" s="16"/>
      <c r="G69" s="2"/>
      <c r="H69" s="126" t="str">
        <f t="shared" si="2"/>
        <v/>
      </c>
      <c r="I69" s="300"/>
      <c r="J69" s="300"/>
    </row>
    <row r="70" spans="2:10" ht="13.5" thickBot="1">
      <c r="B70" s="10"/>
      <c r="C70" s="19"/>
      <c r="D70" s="19"/>
      <c r="E70" s="3"/>
      <c r="F70" s="17"/>
      <c r="G70" s="124"/>
      <c r="H70" s="128" t="str">
        <f t="shared" si="2"/>
        <v/>
      </c>
      <c r="I70" s="300"/>
      <c r="J70" s="300"/>
    </row>
    <row r="71" spans="2:10" ht="13.5" thickBot="1">
      <c r="B71" s="25"/>
      <c r="C71" s="25"/>
      <c r="D71" s="25"/>
      <c r="E71" s="25"/>
      <c r="F71" s="25"/>
      <c r="G71" s="26"/>
      <c r="H71" s="26"/>
      <c r="I71" s="285"/>
    </row>
    <row r="72" spans="2:10" ht="18.75" thickBot="1">
      <c r="B72" s="52" t="s">
        <v>19</v>
      </c>
      <c r="C72" s="53"/>
      <c r="D72" s="54"/>
      <c r="E72" s="25"/>
      <c r="F72" s="25"/>
      <c r="G72" s="26"/>
      <c r="H72" s="25"/>
    </row>
    <row r="73" spans="2:10">
      <c r="B73" s="383" t="s">
        <v>20</v>
      </c>
      <c r="C73" s="384"/>
      <c r="D73" s="21">
        <v>7.0000000000000007E-2</v>
      </c>
      <c r="E73" s="25"/>
      <c r="F73" s="25"/>
      <c r="G73" s="26"/>
      <c r="H73" s="25"/>
      <c r="I73" s="285"/>
    </row>
    <row r="74" spans="2:10" ht="13.5" thickBot="1">
      <c r="B74" s="385" t="s">
        <v>21</v>
      </c>
      <c r="C74" s="386"/>
      <c r="D74" s="12">
        <v>0.03</v>
      </c>
      <c r="E74" s="25"/>
      <c r="F74" s="25"/>
      <c r="G74" s="26"/>
      <c r="H74" s="25"/>
      <c r="I74" s="285"/>
    </row>
    <row r="75" spans="2:10" ht="13.5" thickBot="1">
      <c r="B75" s="25"/>
      <c r="C75" s="25"/>
      <c r="D75" s="25"/>
      <c r="E75" s="25"/>
      <c r="F75" s="25"/>
      <c r="G75" s="26"/>
      <c r="H75" s="25"/>
      <c r="I75" s="285"/>
    </row>
    <row r="76" spans="2:10" ht="52.5" thickBot="1">
      <c r="B76" s="24" t="s">
        <v>61</v>
      </c>
      <c r="C76" s="33"/>
      <c r="D76" s="33"/>
      <c r="E76" s="33"/>
      <c r="F76" s="265" t="s">
        <v>159</v>
      </c>
      <c r="G76" s="267" t="s">
        <v>160</v>
      </c>
      <c r="H76" s="268" t="s">
        <v>32</v>
      </c>
      <c r="I76" s="285"/>
    </row>
    <row r="77" spans="2:10">
      <c r="B77" s="387" t="s">
        <v>22</v>
      </c>
      <c r="C77" s="388"/>
      <c r="D77" s="125">
        <v>15000</v>
      </c>
      <c r="E77" s="269"/>
      <c r="F77" s="274">
        <v>0.6</v>
      </c>
      <c r="G77" s="274">
        <v>0.75</v>
      </c>
      <c r="H77" s="270">
        <f>IF(G77="","",1-G77)</f>
        <v>0.25</v>
      </c>
      <c r="I77" s="285"/>
    </row>
    <row r="78" spans="2:10">
      <c r="B78" s="383" t="s">
        <v>23</v>
      </c>
      <c r="C78" s="384"/>
      <c r="D78" s="13">
        <v>300</v>
      </c>
      <c r="E78" s="266" t="s">
        <v>24</v>
      </c>
      <c r="F78" s="2">
        <v>0.6</v>
      </c>
      <c r="G78" s="2">
        <v>0.75</v>
      </c>
      <c r="H78" s="126">
        <f t="shared" ref="H78:H82" si="3">IF(G78="","",1-G78)</f>
        <v>0.25</v>
      </c>
      <c r="I78" s="285"/>
    </row>
    <row r="79" spans="2:10">
      <c r="B79" s="261" t="s">
        <v>25</v>
      </c>
      <c r="C79" s="262"/>
      <c r="D79" s="13">
        <v>500</v>
      </c>
      <c r="E79" s="266" t="s">
        <v>24</v>
      </c>
      <c r="F79" s="2">
        <v>0.6</v>
      </c>
      <c r="G79" s="2">
        <v>0.8</v>
      </c>
      <c r="H79" s="126">
        <f t="shared" si="3"/>
        <v>0.19999999999999996</v>
      </c>
      <c r="I79" s="285"/>
    </row>
    <row r="80" spans="2:10">
      <c r="B80" s="261" t="s">
        <v>26</v>
      </c>
      <c r="C80" s="262"/>
      <c r="D80" s="13">
        <v>400</v>
      </c>
      <c r="E80" s="266" t="s">
        <v>24</v>
      </c>
      <c r="F80" s="2">
        <v>0.6</v>
      </c>
      <c r="G80" s="2">
        <v>0.5</v>
      </c>
      <c r="H80" s="126">
        <f t="shared" si="3"/>
        <v>0.5</v>
      </c>
      <c r="I80" s="285"/>
    </row>
    <row r="81" spans="2:9">
      <c r="B81" s="261" t="s">
        <v>27</v>
      </c>
      <c r="C81" s="262"/>
      <c r="D81" s="13">
        <v>200</v>
      </c>
      <c r="E81" s="266" t="s">
        <v>24</v>
      </c>
      <c r="F81" s="2">
        <v>0.6</v>
      </c>
      <c r="G81" s="2">
        <v>0.5</v>
      </c>
      <c r="H81" s="126">
        <f t="shared" si="3"/>
        <v>0.5</v>
      </c>
      <c r="I81" s="285"/>
    </row>
    <row r="82" spans="2:9" ht="13.5" thickBot="1">
      <c r="B82" s="263" t="s">
        <v>28</v>
      </c>
      <c r="C82" s="264"/>
      <c r="D82" s="19">
        <v>100</v>
      </c>
      <c r="E82" s="271" t="s">
        <v>24</v>
      </c>
      <c r="F82" s="124">
        <v>0.6</v>
      </c>
      <c r="G82" s="124">
        <v>0.25</v>
      </c>
      <c r="H82" s="128">
        <f t="shared" si="3"/>
        <v>0.75</v>
      </c>
      <c r="I82" s="285"/>
    </row>
    <row r="83" spans="2:9">
      <c r="D83" s="301"/>
    </row>
  </sheetData>
  <sheetProtection sheet="1" objects="1" scenarios="1"/>
  <mergeCells count="6">
    <mergeCell ref="B78:C78"/>
    <mergeCell ref="B73:C73"/>
    <mergeCell ref="B74:C74"/>
    <mergeCell ref="B77:C77"/>
    <mergeCell ref="C6:E6"/>
    <mergeCell ref="C7:E7"/>
  </mergeCells>
  <dataValidations disablePrompts="1" count="2">
    <dataValidation type="list" allowBlank="1" showInputMessage="1" showErrorMessage="1" sqref="D44:D58">
      <formula1>$I$44:$I$46</formula1>
    </dataValidation>
    <dataValidation type="list" allowBlank="1" showInputMessage="1" showErrorMessage="1" sqref="F6">
      <formula1>$K$6:$K$7</formula1>
    </dataValidation>
  </dataValidations>
  <printOptions horizontalCentered="1"/>
  <pageMargins left="0.25" right="0.25" top="0.75" bottom="0.75" header="0.3" footer="0.3"/>
  <pageSetup fitToHeight="2" orientation="portrait" r:id="rId1"/>
  <rowBreaks count="1" manualBreakCount="1">
    <brk id="41" min="1" max="7" man="1"/>
  </rowBreaks>
  <drawing r:id="rId2"/>
</worksheet>
</file>

<file path=xl/worksheets/sheet3.xml><?xml version="1.0" encoding="utf-8"?>
<worksheet xmlns="http://schemas.openxmlformats.org/spreadsheetml/2006/main" xmlns:r="http://schemas.openxmlformats.org/officeDocument/2006/relationships">
  <dimension ref="A1:Y40"/>
  <sheetViews>
    <sheetView workbookViewId="0"/>
  </sheetViews>
  <sheetFormatPr defaultRowHeight="12.75"/>
  <cols>
    <col min="1" max="1" width="43.42578125" style="282" customWidth="1"/>
    <col min="2" max="2" width="26.7109375" style="307" customWidth="1"/>
    <col min="3" max="3" width="10.5703125" style="307" customWidth="1"/>
    <col min="4" max="4" width="7.42578125" style="307" customWidth="1"/>
    <col min="5" max="5" width="11.42578125" style="307" customWidth="1"/>
    <col min="6" max="6" width="10.5703125" style="307" customWidth="1"/>
    <col min="7" max="7" width="9.140625" style="307"/>
    <col min="8" max="8" width="10.28515625" style="307" customWidth="1"/>
    <col min="9" max="9" width="4.42578125" style="307" customWidth="1"/>
    <col min="10" max="10" width="21.42578125" style="307" customWidth="1"/>
    <col min="11" max="13" width="10.5703125" style="307" customWidth="1"/>
    <col min="14" max="16384" width="9.140625" style="307"/>
  </cols>
  <sheetData>
    <row r="1" spans="2:25" ht="18.75" thickBot="1">
      <c r="B1" s="103" t="s">
        <v>137</v>
      </c>
      <c r="C1" s="166" t="str">
        <f>CONCATENATE("(",Inputs!F10," Bucks)")</f>
        <v>(2 Bucks)</v>
      </c>
      <c r="D1" s="166"/>
      <c r="E1" s="166"/>
      <c r="F1" s="166"/>
      <c r="G1" s="166"/>
      <c r="H1" s="166"/>
    </row>
    <row r="2" spans="2:25" ht="27" thickBot="1">
      <c r="B2" s="70" t="s">
        <v>35</v>
      </c>
      <c r="C2" s="178"/>
      <c r="D2" s="179"/>
      <c r="E2" s="179"/>
      <c r="F2" s="179"/>
      <c r="G2" s="179"/>
      <c r="H2" s="189" t="s">
        <v>145</v>
      </c>
    </row>
    <row r="3" spans="2:25">
      <c r="B3" s="111"/>
      <c r="C3" s="71" t="s">
        <v>67</v>
      </c>
      <c r="D3" s="74"/>
      <c r="E3" s="109" t="s">
        <v>4</v>
      </c>
      <c r="F3" s="81"/>
      <c r="G3" s="85"/>
      <c r="H3" s="137" t="s">
        <v>37</v>
      </c>
    </row>
    <row r="4" spans="2:25">
      <c r="B4" s="84"/>
      <c r="C4" s="66"/>
      <c r="D4" s="85"/>
      <c r="E4" s="85"/>
      <c r="F4" s="85"/>
      <c r="G4" s="85"/>
      <c r="H4" s="191"/>
    </row>
    <row r="5" spans="2:25">
      <c r="B5" s="84" t="s">
        <v>138</v>
      </c>
      <c r="C5" s="381">
        <f>IF(Inputs!F12=0,0,Inputs!F10/Inputs!F12)</f>
        <v>0.4</v>
      </c>
      <c r="D5" s="85" t="s">
        <v>87</v>
      </c>
      <c r="E5" s="87">
        <f>Inputs!F14</f>
        <v>100</v>
      </c>
      <c r="F5" s="85"/>
      <c r="G5" s="85" t="s">
        <v>3</v>
      </c>
      <c r="H5" s="191">
        <f>C5*E5</f>
        <v>40</v>
      </c>
    </row>
    <row r="6" spans="2:25" ht="13.5" thickBot="1">
      <c r="B6" s="84"/>
      <c r="C6" s="66"/>
      <c r="D6" s="85"/>
      <c r="E6" s="85"/>
      <c r="F6" s="108"/>
      <c r="G6" s="85"/>
      <c r="H6" s="191"/>
      <c r="J6" s="308"/>
    </row>
    <row r="7" spans="2:25" ht="16.5" thickBot="1">
      <c r="B7" s="106"/>
      <c r="C7" s="78"/>
      <c r="D7" s="78"/>
      <c r="E7" s="73"/>
      <c r="F7" s="101"/>
      <c r="G7" s="57" t="s">
        <v>38</v>
      </c>
      <c r="H7" s="197">
        <f>SUM(H4:H6)</f>
        <v>40</v>
      </c>
    </row>
    <row r="8" spans="2:25" ht="13.5" thickBot="1">
      <c r="B8" s="104"/>
      <c r="C8" s="79"/>
      <c r="D8" s="79"/>
      <c r="E8" s="79"/>
      <c r="F8" s="79"/>
      <c r="G8" s="79"/>
      <c r="H8" s="182"/>
    </row>
    <row r="9" spans="2:25" ht="27" thickBot="1">
      <c r="B9" s="106" t="s">
        <v>39</v>
      </c>
      <c r="C9" s="178"/>
      <c r="D9" s="179"/>
      <c r="E9" s="179"/>
      <c r="F9" s="179"/>
      <c r="G9" s="179"/>
      <c r="H9" s="189" t="s">
        <v>145</v>
      </c>
    </row>
    <row r="10" spans="2:25">
      <c r="B10" s="117" t="s">
        <v>80</v>
      </c>
      <c r="C10" s="71" t="s">
        <v>52</v>
      </c>
      <c r="D10" s="109"/>
      <c r="E10" s="109" t="s">
        <v>4</v>
      </c>
      <c r="F10" s="81"/>
      <c r="G10" s="81"/>
      <c r="H10" s="190" t="s">
        <v>37</v>
      </c>
    </row>
    <row r="11" spans="2:25">
      <c r="B11" s="84" t="s">
        <v>180</v>
      </c>
      <c r="C11" s="114">
        <f>IF(Inputs!F12=0,0,Inputs!F10/Inputs!F12*(1-Inputs!F13))</f>
        <v>0.39200000000000002</v>
      </c>
      <c r="D11" s="188"/>
      <c r="E11" s="85">
        <f>Inputs!F11</f>
        <v>150</v>
      </c>
      <c r="F11" s="85" t="s">
        <v>40</v>
      </c>
      <c r="G11" s="85"/>
      <c r="H11" s="191">
        <f>C11*E11</f>
        <v>58.800000000000004</v>
      </c>
    </row>
    <row r="12" spans="2:25">
      <c r="B12" s="84"/>
      <c r="C12" s="67"/>
      <c r="D12" s="97"/>
      <c r="E12" s="97"/>
      <c r="F12" s="85"/>
      <c r="G12" s="85"/>
      <c r="H12" s="191"/>
      <c r="R12" s="308" t="s">
        <v>78</v>
      </c>
    </row>
    <row r="13" spans="2:25" ht="12.75" customHeight="1">
      <c r="B13" s="84"/>
      <c r="C13" s="393" t="s">
        <v>81</v>
      </c>
      <c r="D13" s="177"/>
      <c r="E13" s="395" t="s">
        <v>82</v>
      </c>
      <c r="F13" s="85"/>
      <c r="G13" s="85"/>
      <c r="H13" s="191"/>
      <c r="J13" s="308"/>
      <c r="K13" s="396"/>
      <c r="L13" s="396"/>
      <c r="M13" s="396"/>
      <c r="O13" s="309"/>
      <c r="P13" s="309"/>
      <c r="R13" s="308" t="s">
        <v>83</v>
      </c>
      <c r="S13" s="309"/>
      <c r="T13" s="309"/>
      <c r="U13" s="309"/>
      <c r="V13" s="309"/>
      <c r="W13" s="309"/>
      <c r="X13" s="309">
        <v>1</v>
      </c>
      <c r="Y13" s="309"/>
    </row>
    <row r="14" spans="2:25" ht="14.25" customHeight="1">
      <c r="B14" s="118" t="s">
        <v>164</v>
      </c>
      <c r="C14" s="394"/>
      <c r="D14" s="177"/>
      <c r="E14" s="395"/>
      <c r="F14" s="397" t="s">
        <v>4</v>
      </c>
      <c r="G14" s="397"/>
      <c r="H14" s="192"/>
      <c r="J14" s="310"/>
      <c r="K14" s="311"/>
      <c r="L14" s="311"/>
      <c r="M14" s="311"/>
      <c r="N14" s="312" t="s">
        <v>41</v>
      </c>
      <c r="O14" s="309"/>
      <c r="P14" s="309"/>
      <c r="S14" s="309"/>
      <c r="T14" s="309"/>
      <c r="U14" s="309"/>
      <c r="V14" s="309"/>
      <c r="W14" s="309"/>
      <c r="X14" s="309"/>
      <c r="Y14" s="309"/>
    </row>
    <row r="15" spans="2:25" ht="12.75" customHeight="1">
      <c r="B15" s="344" t="s">
        <v>158</v>
      </c>
      <c r="C15" s="366">
        <v>4</v>
      </c>
      <c r="D15" s="133" t="str">
        <f t="shared" ref="D15:D21" si="0">IF(B15="","",CONCATENATE(VLOOKUP(B15,Feed,4,FALSE),"s"))</f>
        <v>months</v>
      </c>
      <c r="E15" s="276" t="s">
        <v>78</v>
      </c>
      <c r="F15" s="391" t="str">
        <f t="shared" ref="F15:F21" si="1">IF(B15="","",CONCATENATE("@ ",TEXT(VLOOKUP($B15,Feed,6,FALSE),"0.00")," per ",VLOOKUP(B15,Feed,4,FALSE)))</f>
        <v>@  per month</v>
      </c>
      <c r="G15" s="392"/>
      <c r="H15" s="191">
        <f>IF(B15=0,"",IFERROR(IF(E15="","",C15*VLOOKUP(B15,Feed,6,FALSE)*IF(E15="total",1,Inputs!$F$10)),0))</f>
        <v>0</v>
      </c>
      <c r="J15" s="307" t="s">
        <v>78</v>
      </c>
      <c r="K15" s="313"/>
      <c r="L15" s="308"/>
      <c r="M15" s="308"/>
      <c r="N15" s="308" t="str">
        <f>IF($B15="","",VLOOKUP($B15,Feed,4,FALSE))</f>
        <v>month</v>
      </c>
      <c r="O15" s="308">
        <f t="shared" ref="O15:O21" si="2">IF($B15="","",VLOOKUP($B15,Feed,5,FALSE))</f>
        <v>0</v>
      </c>
      <c r="P15" s="314">
        <f t="shared" ref="P15:P21" si="3">K15+L15+M15</f>
        <v>0</v>
      </c>
      <c r="R15" s="308" t="str">
        <f>IF(Inputs!B31="","",Inputs!B31)</f>
        <v>Native Pasture - Does</v>
      </c>
      <c r="X15" s="307">
        <v>2</v>
      </c>
    </row>
    <row r="16" spans="2:25" ht="14.25" customHeight="1">
      <c r="B16" s="344" t="s">
        <v>94</v>
      </c>
      <c r="C16" s="366">
        <v>33</v>
      </c>
      <c r="D16" s="133" t="str">
        <f t="shared" si="0"/>
        <v>lbs</v>
      </c>
      <c r="E16" s="276" t="s">
        <v>78</v>
      </c>
      <c r="F16" s="391" t="str">
        <f t="shared" si="1"/>
        <v>@ 0.63 per lb</v>
      </c>
      <c r="G16" s="392"/>
      <c r="H16" s="191">
        <f>IF(B16=0,"",IF(E16="","",C16*VLOOKUP(B16,Feed,6,FALSE)*IF(E16="total",1,Inputs!$F$10)))</f>
        <v>41.58</v>
      </c>
      <c r="J16" s="307" t="s">
        <v>83</v>
      </c>
      <c r="K16" s="313"/>
      <c r="L16" s="308"/>
      <c r="M16" s="308"/>
      <c r="N16" s="308" t="str">
        <f t="shared" ref="N16:N21" si="4">IF(B16="","",VLOOKUP(B16,Feed,4,FALSE))</f>
        <v>lb</v>
      </c>
      <c r="O16" s="308">
        <f t="shared" si="2"/>
        <v>1</v>
      </c>
      <c r="P16" s="314">
        <f t="shared" si="3"/>
        <v>0</v>
      </c>
      <c r="R16" s="308" t="str">
        <f>IF(Inputs!B32="","",Inputs!B32)</f>
        <v>Prairie Hay</v>
      </c>
      <c r="X16" s="307">
        <v>3</v>
      </c>
    </row>
    <row r="17" spans="2:25">
      <c r="B17" s="344" t="s">
        <v>181</v>
      </c>
      <c r="C17" s="366">
        <v>1200</v>
      </c>
      <c r="D17" s="133" t="str">
        <f t="shared" si="0"/>
        <v>lbs</v>
      </c>
      <c r="E17" s="276" t="s">
        <v>78</v>
      </c>
      <c r="F17" s="391" t="str">
        <f t="shared" si="1"/>
        <v>@ 0.03 per lb</v>
      </c>
      <c r="G17" s="392"/>
      <c r="H17" s="191">
        <f>IF(B17=0,"",IF(E17="","",C17*VLOOKUP(B17,Feed,6,FALSE)*IF(E17="total",1,Inputs!$F$10)))</f>
        <v>80</v>
      </c>
      <c r="J17" s="308"/>
      <c r="K17" s="313"/>
      <c r="L17" s="308"/>
      <c r="M17" s="308"/>
      <c r="N17" s="308" t="str">
        <f t="shared" si="4"/>
        <v>lb</v>
      </c>
      <c r="O17" s="308">
        <f t="shared" si="2"/>
        <v>60</v>
      </c>
      <c r="P17" s="314">
        <f t="shared" si="3"/>
        <v>0</v>
      </c>
      <c r="R17" s="308" t="str">
        <f>IF(Inputs!B33="","",Inputs!B33)</f>
        <v>Alfalfa Hay</v>
      </c>
      <c r="X17" s="307">
        <v>4</v>
      </c>
    </row>
    <row r="18" spans="2:25">
      <c r="B18" s="344" t="s">
        <v>91</v>
      </c>
      <c r="C18" s="366">
        <v>7</v>
      </c>
      <c r="D18" s="133" t="str">
        <f t="shared" si="0"/>
        <v>bus</v>
      </c>
      <c r="E18" s="276" t="s">
        <v>78</v>
      </c>
      <c r="F18" s="391" t="str">
        <f t="shared" si="1"/>
        <v>@ 3.45 per bu</v>
      </c>
      <c r="G18" s="392"/>
      <c r="H18" s="191">
        <f>IF(B18=0,"",IF(E18="","",C18*VLOOKUP(B18,Feed,6,FALSE)*IF(E18="total",1,Inputs!$F$10)))</f>
        <v>48.300000000000004</v>
      </c>
      <c r="J18" s="308"/>
      <c r="K18" s="313"/>
      <c r="L18" s="308"/>
      <c r="M18" s="308"/>
      <c r="N18" s="308" t="str">
        <f t="shared" si="4"/>
        <v>bu</v>
      </c>
      <c r="O18" s="308">
        <f t="shared" si="2"/>
        <v>1</v>
      </c>
      <c r="P18" s="314">
        <f t="shared" si="3"/>
        <v>0</v>
      </c>
      <c r="R18" s="308" t="str">
        <f>IF(Inputs!B34="","",Inputs!B34)</f>
        <v>Creep Feed</v>
      </c>
      <c r="X18" s="307">
        <v>5</v>
      </c>
    </row>
    <row r="19" spans="2:25">
      <c r="B19" s="344"/>
      <c r="C19" s="366"/>
      <c r="D19" s="133" t="str">
        <f t="shared" si="0"/>
        <v/>
      </c>
      <c r="E19" s="276"/>
      <c r="F19" s="391" t="str">
        <f t="shared" si="1"/>
        <v/>
      </c>
      <c r="G19" s="392"/>
      <c r="H19" s="191" t="str">
        <f>IF(B19=0,"",IF(E19="","",C19*VLOOKUP(B19,Feed,6,FALSE)*IF(E19="total",1,Inputs!$F$10)))</f>
        <v/>
      </c>
      <c r="J19" s="308"/>
      <c r="K19" s="313"/>
      <c r="L19" s="308"/>
      <c r="M19" s="308"/>
      <c r="N19" s="308" t="str">
        <f t="shared" si="4"/>
        <v/>
      </c>
      <c r="O19" s="308" t="str">
        <f t="shared" si="2"/>
        <v/>
      </c>
      <c r="P19" s="314">
        <f t="shared" si="3"/>
        <v>0</v>
      </c>
      <c r="R19" s="308" t="str">
        <f>IF(Inputs!B35="","",Inputs!B35)</f>
        <v>Mineral Mix</v>
      </c>
      <c r="X19" s="307">
        <v>6</v>
      </c>
    </row>
    <row r="20" spans="2:25">
      <c r="B20" s="344"/>
      <c r="C20" s="366"/>
      <c r="D20" s="133" t="str">
        <f t="shared" si="0"/>
        <v/>
      </c>
      <c r="E20" s="276"/>
      <c r="F20" s="391" t="str">
        <f t="shared" si="1"/>
        <v/>
      </c>
      <c r="G20" s="392"/>
      <c r="H20" s="191" t="str">
        <f>IF(B20=0,"",IF(E20="","",C20*VLOOKUP(B20,Feed,6,FALSE)*IF(E20="total",1,Inputs!$F$10)))</f>
        <v/>
      </c>
      <c r="J20" s="308"/>
      <c r="K20" s="313"/>
      <c r="L20" s="308"/>
      <c r="M20" s="308"/>
      <c r="N20" s="308" t="str">
        <f t="shared" si="4"/>
        <v/>
      </c>
      <c r="O20" s="308" t="str">
        <f t="shared" si="2"/>
        <v/>
      </c>
      <c r="P20" s="314">
        <f t="shared" si="3"/>
        <v>0</v>
      </c>
      <c r="R20" s="308" t="str">
        <f>IF(Inputs!B36="","",Inputs!B36)</f>
        <v>Corn</v>
      </c>
      <c r="X20" s="307">
        <v>7</v>
      </c>
    </row>
    <row r="21" spans="2:25" ht="13.5" thickBot="1">
      <c r="B21" s="344"/>
      <c r="C21" s="366"/>
      <c r="D21" s="133" t="str">
        <f t="shared" si="0"/>
        <v/>
      </c>
      <c r="E21" s="276"/>
      <c r="F21" s="391" t="str">
        <f t="shared" si="1"/>
        <v/>
      </c>
      <c r="G21" s="392"/>
      <c r="H21" s="193" t="str">
        <f>IF(B21=0,"",IF(E21="","",C21*VLOOKUP(B21,Feed,6,FALSE)*IF(E21="total",1,Inputs!$F$10)))</f>
        <v/>
      </c>
      <c r="J21" s="308"/>
      <c r="K21" s="313"/>
      <c r="L21" s="308"/>
      <c r="M21" s="308"/>
      <c r="N21" s="308" t="str">
        <f t="shared" si="4"/>
        <v/>
      </c>
      <c r="O21" s="308" t="str">
        <f t="shared" si="2"/>
        <v/>
      </c>
      <c r="P21" s="314">
        <f t="shared" si="3"/>
        <v>0</v>
      </c>
      <c r="R21" s="308" t="str">
        <f>IF(Inputs!B37="","",Inputs!B37)</f>
        <v>Native Pasture - Replacement</v>
      </c>
      <c r="X21" s="307">
        <v>8</v>
      </c>
    </row>
    <row r="22" spans="2:25" ht="13.5" thickTop="1">
      <c r="B22" s="345"/>
      <c r="C22" s="342"/>
      <c r="D22" s="85"/>
      <c r="E22" s="85"/>
      <c r="F22" s="108"/>
      <c r="G22" s="64" t="s">
        <v>42</v>
      </c>
      <c r="H22" s="194">
        <f>SUM(H15:H21)</f>
        <v>169.88</v>
      </c>
      <c r="R22" s="308" t="str">
        <f>IF(Inputs!B38="","",Inputs!B38)</f>
        <v>Native Pasture - Finish</v>
      </c>
    </row>
    <row r="23" spans="2:25">
      <c r="B23" s="345"/>
      <c r="C23" s="85"/>
      <c r="D23" s="85"/>
      <c r="E23" s="93"/>
      <c r="F23" s="85"/>
      <c r="G23" s="121"/>
      <c r="H23" s="195"/>
      <c r="R23" s="308" t="str">
        <f>IF(Inputs!B39="","",Inputs!B39)</f>
        <v>Native Pasture - Bucks</v>
      </c>
      <c r="Y23" s="308"/>
    </row>
    <row r="24" spans="2:25" ht="14.25" customHeight="1">
      <c r="B24" s="346" t="s">
        <v>84</v>
      </c>
      <c r="C24" s="85"/>
      <c r="D24" s="85"/>
      <c r="E24" s="129" t="s">
        <v>56</v>
      </c>
      <c r="F24" s="85"/>
      <c r="G24" s="74"/>
      <c r="H24" s="192" t="s">
        <v>37</v>
      </c>
      <c r="R24" s="308" t="str">
        <f>IF(Inputs!B40="","",Inputs!B40)</f>
        <v/>
      </c>
      <c r="Y24" s="308"/>
    </row>
    <row r="25" spans="2:25">
      <c r="B25" s="41" t="s">
        <v>129</v>
      </c>
      <c r="C25" s="85"/>
      <c r="D25" s="85"/>
      <c r="E25" s="120">
        <f t="shared" ref="E25:E30" si="5">IF(B25="","",VLOOKUP(B25,NonFeed,4,FALSE))</f>
        <v>1</v>
      </c>
      <c r="F25" s="85"/>
      <c r="G25" s="85"/>
      <c r="H25" s="191">
        <f>IF(B25="","",E25*VLOOKUP(B25,NonFeed,2,FALSE)*IF(VLOOKUP(B25,NonFeed,3,FALSE)="per animal",$C$11,1))</f>
        <v>1.96</v>
      </c>
      <c r="Y25" s="308"/>
    </row>
    <row r="26" spans="2:25">
      <c r="B26" s="344" t="s">
        <v>10</v>
      </c>
      <c r="C26" s="85"/>
      <c r="D26" s="85"/>
      <c r="E26" s="120" t="str">
        <f t="shared" si="5"/>
        <v/>
      </c>
      <c r="F26" s="85"/>
      <c r="G26" s="85"/>
      <c r="H26" s="191" t="str">
        <f>IF(B26="","",E26*VLOOKUP(B26,NonFeed,2,FALSE)*IF(VLOOKUP(B26,NonFeed,3,FALSE)="per animal",Inputs!$F$10,1))</f>
        <v/>
      </c>
      <c r="Y26" s="308"/>
    </row>
    <row r="27" spans="2:25">
      <c r="B27" s="344"/>
      <c r="C27" s="85"/>
      <c r="D27" s="108"/>
      <c r="E27" s="120" t="str">
        <f t="shared" si="5"/>
        <v/>
      </c>
      <c r="F27" s="85"/>
      <c r="G27" s="85"/>
      <c r="H27" s="191" t="str">
        <f>IF(B27="","",E27*VLOOKUP(B27,NonFeed,2,FALSE)*IF(VLOOKUP(B27,NonFeed,3,FALSE)="per animal",Inputs!$F$10,1))</f>
        <v/>
      </c>
      <c r="J27" s="308"/>
      <c r="R27" s="307" t="str">
        <f>IF(Inputs!B51="","",Inputs!B51)</f>
        <v>Supplies</v>
      </c>
      <c r="Y27" s="308"/>
    </row>
    <row r="28" spans="2:25">
      <c r="B28" s="344"/>
      <c r="C28" s="95" t="s">
        <v>10</v>
      </c>
      <c r="D28" s="95"/>
      <c r="E28" s="120" t="str">
        <f t="shared" si="5"/>
        <v/>
      </c>
      <c r="F28" s="85"/>
      <c r="G28" s="85"/>
      <c r="H28" s="191" t="str">
        <f>IF(B28="","",E28*VLOOKUP(B28,NonFeed,2,FALSE)*IF(VLOOKUP(B28,NonFeed,3,FALSE)="per animal",Inputs!$F$10,1))</f>
        <v/>
      </c>
      <c r="J28" s="308"/>
      <c r="R28" s="307" t="str">
        <f>IF(Inputs!B52="","",Inputs!B52)</f>
        <v/>
      </c>
      <c r="Y28" s="308"/>
    </row>
    <row r="29" spans="2:25">
      <c r="B29" s="344" t="s">
        <v>10</v>
      </c>
      <c r="C29" s="95" t="s">
        <v>10</v>
      </c>
      <c r="D29" s="95"/>
      <c r="E29" s="120" t="str">
        <f t="shared" si="5"/>
        <v/>
      </c>
      <c r="F29" s="85"/>
      <c r="G29" s="85"/>
      <c r="H29" s="191" t="str">
        <f>IF(B29="","",E29*VLOOKUP(B29,NonFeed,2,FALSE)*IF(VLOOKUP(B29,NonFeed,3,FALSE)="per animal",Inputs!$F$10,1))</f>
        <v/>
      </c>
      <c r="R29" s="307" t="str">
        <f>IF(Inputs!B53="","",Inputs!B53)</f>
        <v/>
      </c>
    </row>
    <row r="30" spans="2:25">
      <c r="B30" s="344"/>
      <c r="C30" s="95"/>
      <c r="D30" s="95"/>
      <c r="E30" s="120" t="str">
        <f t="shared" si="5"/>
        <v/>
      </c>
      <c r="F30" s="108"/>
      <c r="G30" s="85"/>
      <c r="H30" s="191" t="str">
        <f>IF(B30="","",E30*VLOOKUP(B30,NonFeed,2,FALSE)*IF(VLOOKUP(B30,NonFeed,3,FALSE)="per animal",Inputs!$F$10,1))</f>
        <v/>
      </c>
      <c r="R30" s="307" t="str">
        <f>IF(Inputs!B54="","",Inputs!B54)</f>
        <v/>
      </c>
    </row>
    <row r="31" spans="2:25" ht="13.5" thickBot="1">
      <c r="B31" s="84" t="s">
        <v>43</v>
      </c>
      <c r="C31" s="66"/>
      <c r="D31" s="85"/>
      <c r="E31" s="85"/>
      <c r="F31" s="95"/>
      <c r="G31" s="108"/>
      <c r="H31" s="193">
        <f>((H22+SUM(H25:H30))*Inputs!$D$73/2)</f>
        <v>6.0144000000000011</v>
      </c>
      <c r="R31" s="307" t="str">
        <f>IF(Inputs!B55="","",Inputs!B55)</f>
        <v/>
      </c>
    </row>
    <row r="32" spans="2:25" ht="14.25" thickTop="1" thickBot="1">
      <c r="B32" s="88"/>
      <c r="C32" s="69"/>
      <c r="D32" s="89"/>
      <c r="E32" s="89"/>
      <c r="F32" s="134"/>
      <c r="G32" s="98" t="s">
        <v>57</v>
      </c>
      <c r="H32" s="196">
        <f>SUM(H25:H31)</f>
        <v>7.974400000000001</v>
      </c>
      <c r="R32" s="307" t="str">
        <f>IF(Inputs!B56="","",Inputs!B56)</f>
        <v/>
      </c>
    </row>
    <row r="33" spans="2:18" ht="16.5" thickBot="1">
      <c r="B33" s="106"/>
      <c r="C33" s="73"/>
      <c r="D33" s="73"/>
      <c r="E33" s="73"/>
      <c r="F33" s="73"/>
      <c r="G33" s="57" t="s">
        <v>44</v>
      </c>
      <c r="H33" s="197">
        <f>SUM(H11:H11)+H22+H32</f>
        <v>236.65440000000001</v>
      </c>
      <c r="R33" s="307" t="str">
        <f>IF(Inputs!B57="","",Inputs!B57)</f>
        <v/>
      </c>
    </row>
    <row r="34" spans="2:18" ht="13.5" thickBot="1">
      <c r="B34" s="85"/>
      <c r="C34" s="85"/>
      <c r="D34" s="85"/>
      <c r="E34" s="85"/>
      <c r="F34" s="97"/>
      <c r="G34" s="97"/>
      <c r="H34" s="184"/>
      <c r="R34" s="307" t="str">
        <f>IF(Inputs!B58="","",Inputs!B58)</f>
        <v/>
      </c>
    </row>
    <row r="35" spans="2:18" ht="16.5" thickBot="1">
      <c r="B35" s="106"/>
      <c r="C35" s="107"/>
      <c r="D35" s="107"/>
      <c r="E35" s="107"/>
      <c r="F35" s="107"/>
      <c r="G35" s="57" t="s">
        <v>88</v>
      </c>
      <c r="H35" s="197">
        <f>H33-H7</f>
        <v>196.65440000000001</v>
      </c>
    </row>
    <row r="36" spans="2:18">
      <c r="B36" s="308"/>
      <c r="C36" s="308"/>
      <c r="D36" s="308"/>
      <c r="E36" s="308"/>
      <c r="F36" s="308"/>
      <c r="G36" s="308"/>
    </row>
    <row r="37" spans="2:18">
      <c r="B37" s="307" t="s">
        <v>10</v>
      </c>
    </row>
    <row r="38" spans="2:18">
      <c r="B38" s="307" t="s">
        <v>10</v>
      </c>
    </row>
    <row r="39" spans="2:18">
      <c r="B39" s="307" t="s">
        <v>10</v>
      </c>
    </row>
    <row r="40" spans="2:18">
      <c r="B40" s="307" t="s">
        <v>10</v>
      </c>
    </row>
  </sheetData>
  <sheetProtection sheet="1" objects="1" scenarios="1"/>
  <mergeCells count="11">
    <mergeCell ref="F17:G17"/>
    <mergeCell ref="F18:G18"/>
    <mergeCell ref="F19:G19"/>
    <mergeCell ref="F20:G20"/>
    <mergeCell ref="F21:G21"/>
    <mergeCell ref="F16:G16"/>
    <mergeCell ref="C13:C14"/>
    <mergeCell ref="E13:E14"/>
    <mergeCell ref="K13:M13"/>
    <mergeCell ref="F14:G14"/>
    <mergeCell ref="F15:G15"/>
  </mergeCells>
  <dataValidations count="3">
    <dataValidation type="list" allowBlank="1" showInputMessage="1" showErrorMessage="1" sqref="B26:B30">
      <formula1>$R$27:$R$34</formula1>
    </dataValidation>
    <dataValidation type="list" allowBlank="1" showInputMessage="1" showErrorMessage="1" sqref="E15:E21">
      <formula1>$J$15:$J$17</formula1>
    </dataValidation>
    <dataValidation type="list" allowBlank="1" showInputMessage="1" showErrorMessage="1" sqref="B15:B21">
      <formula1>$R$15:$R$24</formula1>
    </dataValidation>
  </dataValidations>
  <printOptions horizontalCentered="1"/>
  <pageMargins left="0.25" right="0.2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B1:Z48"/>
  <sheetViews>
    <sheetView workbookViewId="0"/>
  </sheetViews>
  <sheetFormatPr defaultRowHeight="12.75"/>
  <cols>
    <col min="1" max="1" width="43.28515625" style="282" customWidth="1"/>
    <col min="2" max="2" width="26.7109375" style="307" customWidth="1"/>
    <col min="3" max="3" width="10.5703125" style="307" customWidth="1"/>
    <col min="4" max="4" width="7.42578125" style="307" customWidth="1"/>
    <col min="5" max="5" width="11.42578125" style="307" customWidth="1"/>
    <col min="6" max="6" width="10.5703125" style="307" customWidth="1"/>
    <col min="7" max="7" width="9.140625" style="307"/>
    <col min="8" max="8" width="10.28515625" style="307" customWidth="1"/>
    <col min="9" max="9" width="5.85546875" style="307" customWidth="1"/>
    <col min="10" max="10" width="21.42578125" style="307" customWidth="1"/>
    <col min="11" max="12" width="10.5703125" style="307" customWidth="1"/>
    <col min="13" max="13" width="10.5703125" style="282" customWidth="1"/>
    <col min="14" max="14" width="9.140625" style="282"/>
    <col min="15" max="22" width="9.140625" style="307"/>
    <col min="23" max="16384" width="9.140625" style="282"/>
  </cols>
  <sheetData>
    <row r="1" spans="2:26" ht="18.75" thickBot="1">
      <c r="B1" s="103" t="s">
        <v>95</v>
      </c>
      <c r="C1" s="76"/>
      <c r="D1" s="166" t="str">
        <f>IF(Inputs!F6="No",CONCATENATE("(",Inputs!F4+Inputs!F5," Does)"),"NA")</f>
        <v>(6 Does)</v>
      </c>
      <c r="E1" s="166"/>
      <c r="F1" s="166"/>
      <c r="G1" s="166"/>
      <c r="H1" s="166"/>
      <c r="M1" s="302"/>
      <c r="N1" s="302"/>
      <c r="W1" s="302"/>
      <c r="X1" s="302"/>
      <c r="Y1" s="302"/>
      <c r="Z1" s="302"/>
    </row>
    <row r="2" spans="2:26" ht="27" thickBot="1">
      <c r="B2" s="106" t="s">
        <v>39</v>
      </c>
      <c r="C2" s="178"/>
      <c r="D2" s="179"/>
      <c r="E2" s="179"/>
      <c r="F2" s="179"/>
      <c r="G2" s="179"/>
      <c r="H2" s="189" t="s">
        <v>145</v>
      </c>
      <c r="M2" s="302"/>
      <c r="N2" s="302"/>
      <c r="W2" s="302"/>
      <c r="X2" s="302"/>
      <c r="Y2" s="302"/>
      <c r="Z2" s="302"/>
    </row>
    <row r="3" spans="2:26" ht="12.75" customHeight="1">
      <c r="B3" s="84"/>
      <c r="C3" s="393" t="s">
        <v>81</v>
      </c>
      <c r="D3" s="177"/>
      <c r="E3" s="395" t="s">
        <v>82</v>
      </c>
      <c r="F3" s="85"/>
      <c r="G3" s="85"/>
      <c r="H3" s="191"/>
      <c r="J3" s="308"/>
      <c r="K3" s="399"/>
      <c r="L3" s="399"/>
      <c r="M3" s="399"/>
      <c r="N3" s="302"/>
      <c r="O3" s="309"/>
      <c r="P3" s="309"/>
      <c r="R3" s="308" t="s">
        <v>83</v>
      </c>
      <c r="S3" s="309"/>
      <c r="T3" s="309"/>
      <c r="U3" s="309"/>
      <c r="V3" s="309"/>
      <c r="W3" s="305"/>
      <c r="X3" s="305">
        <v>1</v>
      </c>
      <c r="Y3" s="305"/>
      <c r="Z3" s="302"/>
    </row>
    <row r="4" spans="2:26" ht="14.25" customHeight="1">
      <c r="B4" s="346" t="s">
        <v>96</v>
      </c>
      <c r="C4" s="398"/>
      <c r="D4" s="177"/>
      <c r="E4" s="395"/>
      <c r="F4" s="397" t="s">
        <v>4</v>
      </c>
      <c r="G4" s="397"/>
      <c r="H4" s="192"/>
      <c r="J4" s="310"/>
      <c r="K4" s="311"/>
      <c r="L4" s="311"/>
      <c r="M4" s="291"/>
      <c r="N4" s="330"/>
      <c r="O4" s="309"/>
      <c r="P4" s="309"/>
      <c r="S4" s="309"/>
      <c r="T4" s="309"/>
      <c r="U4" s="309"/>
      <c r="V4" s="309"/>
      <c r="W4" s="305"/>
      <c r="X4" s="305"/>
      <c r="Y4" s="305"/>
      <c r="Z4" s="302"/>
    </row>
    <row r="5" spans="2:26" ht="12.75" customHeight="1">
      <c r="B5" s="344" t="s">
        <v>102</v>
      </c>
      <c r="C5" s="366">
        <v>4</v>
      </c>
      <c r="D5" s="133" t="str">
        <f t="shared" ref="D5:D11" si="0">IF(B5="","",CONCATENATE(VLOOKUP(B5,Feed,4,FALSE),"s"))</f>
        <v>months</v>
      </c>
      <c r="E5" s="276" t="s">
        <v>78</v>
      </c>
      <c r="F5" s="391" t="str">
        <f t="shared" ref="F5:F11" si="1">IF(B5="","",CONCATENATE("@ ",TEXT(VLOOKUP($B5,Feed,6,FALSE),"0.00")," per ",VLOOKUP(B5,Feed,4,FALSE)))</f>
        <v>@  per month</v>
      </c>
      <c r="G5" s="392"/>
      <c r="H5" s="218">
        <f>IF($D$1="NA",0,IF(B5=0,"",IF(E5="","",IFERROR(C5*VLOOKUP(B5,Feed,6,FALSE)*IF(E5="total",1,Inputs!$F$4+Inputs!$F$5),0))))</f>
        <v>0</v>
      </c>
      <c r="J5" s="307" t="s">
        <v>78</v>
      </c>
      <c r="K5" s="313"/>
      <c r="L5" s="308"/>
      <c r="M5" s="290"/>
      <c r="N5" s="304"/>
      <c r="O5" s="308"/>
      <c r="P5" s="314">
        <f t="shared" ref="P5:P11" si="2">K5+L5+M5</f>
        <v>0</v>
      </c>
      <c r="R5" s="308" t="str">
        <f>IF(Inputs!B31="","",Inputs!B31)</f>
        <v>Native Pasture - Does</v>
      </c>
      <c r="W5" s="302"/>
      <c r="X5" s="302">
        <v>2</v>
      </c>
      <c r="Y5" s="302"/>
      <c r="Z5" s="302"/>
    </row>
    <row r="6" spans="2:26" ht="14.25" customHeight="1">
      <c r="B6" s="344" t="s">
        <v>125</v>
      </c>
      <c r="C6" s="366">
        <f>ROUND(141/0.21,0)</f>
        <v>671</v>
      </c>
      <c r="D6" s="133" t="str">
        <f t="shared" si="0"/>
        <v>lbs</v>
      </c>
      <c r="E6" s="276" t="s">
        <v>83</v>
      </c>
      <c r="F6" s="391" t="str">
        <f t="shared" si="1"/>
        <v>@ 0.22 per lb</v>
      </c>
      <c r="G6" s="392"/>
      <c r="H6" s="218">
        <f>IF($D$1="NA",0,IF(B6=0,"",IF(E6="","",IFERROR(C6*VLOOKUP(B6,Feed,6,FALSE)*IF(E6="total",1,Inputs!$F$4+Inputs!$F$5),0))))</f>
        <v>147.62</v>
      </c>
      <c r="J6" s="307" t="s">
        <v>83</v>
      </c>
      <c r="K6" s="313"/>
      <c r="L6" s="308"/>
      <c r="M6" s="290"/>
      <c r="N6" s="304"/>
      <c r="O6" s="308"/>
      <c r="P6" s="314">
        <f t="shared" si="2"/>
        <v>0</v>
      </c>
      <c r="R6" s="308" t="str">
        <f>IF(Inputs!B32="","",Inputs!B32)</f>
        <v>Prairie Hay</v>
      </c>
      <c r="W6" s="302"/>
      <c r="X6" s="302">
        <v>3</v>
      </c>
      <c r="Y6" s="302"/>
      <c r="Z6" s="302"/>
    </row>
    <row r="7" spans="2:26">
      <c r="B7" s="344" t="s">
        <v>94</v>
      </c>
      <c r="C7" s="366">
        <v>8</v>
      </c>
      <c r="D7" s="133" t="str">
        <f t="shared" si="0"/>
        <v>lbs</v>
      </c>
      <c r="E7" s="276" t="s">
        <v>78</v>
      </c>
      <c r="F7" s="391" t="str">
        <f t="shared" si="1"/>
        <v>@ 0.63 per lb</v>
      </c>
      <c r="G7" s="392"/>
      <c r="H7" s="218">
        <f>IF($D$1="NA",0,IF(B7=0,"",IF(E7="","",IFERROR(C7*VLOOKUP(B7,Feed,6,FALSE)*IF(E7="total",1,Inputs!$F$4+Inputs!$F$5),0))))</f>
        <v>30.240000000000002</v>
      </c>
      <c r="J7" s="308"/>
      <c r="K7" s="313"/>
      <c r="L7" s="308"/>
      <c r="M7" s="290"/>
      <c r="N7" s="304"/>
      <c r="O7" s="308"/>
      <c r="P7" s="314">
        <f t="shared" si="2"/>
        <v>0</v>
      </c>
      <c r="R7" s="308" t="str">
        <f>IF(Inputs!B33="","",Inputs!B33)</f>
        <v>Alfalfa Hay</v>
      </c>
      <c r="W7" s="302"/>
      <c r="X7" s="302">
        <v>4</v>
      </c>
      <c r="Y7" s="302"/>
      <c r="Z7" s="302"/>
    </row>
    <row r="8" spans="2:26">
      <c r="B8" s="344" t="s">
        <v>181</v>
      </c>
      <c r="C8" s="366">
        <v>380</v>
      </c>
      <c r="D8" s="133" t="str">
        <f t="shared" si="0"/>
        <v>lbs</v>
      </c>
      <c r="E8" s="276" t="s">
        <v>78</v>
      </c>
      <c r="F8" s="391" t="str">
        <f t="shared" si="1"/>
        <v>@ 0.03 per lb</v>
      </c>
      <c r="G8" s="392"/>
      <c r="H8" s="218">
        <f>IF($D$1="NA",0,IF(B8=0,"",IF(E8="","",IFERROR(C8*VLOOKUP(B8,Feed,6,FALSE)*IF(E8="total",1,Inputs!$F$4+Inputs!$F$5),0))))</f>
        <v>76</v>
      </c>
      <c r="J8" s="308"/>
      <c r="K8" s="313"/>
      <c r="L8" s="308"/>
      <c r="M8" s="290"/>
      <c r="N8" s="304"/>
      <c r="O8" s="308"/>
      <c r="P8" s="314">
        <f t="shared" si="2"/>
        <v>0</v>
      </c>
      <c r="R8" s="308" t="str">
        <f>IF(Inputs!B34="","",Inputs!B34)</f>
        <v>Creep Feed</v>
      </c>
      <c r="W8" s="302"/>
      <c r="X8" s="302">
        <v>5</v>
      </c>
      <c r="Y8" s="302"/>
      <c r="Z8" s="302"/>
    </row>
    <row r="9" spans="2:26">
      <c r="B9" s="344" t="s">
        <v>91</v>
      </c>
      <c r="C9" s="366">
        <v>23</v>
      </c>
      <c r="D9" s="133" t="str">
        <f t="shared" si="0"/>
        <v>bus</v>
      </c>
      <c r="E9" s="276" t="s">
        <v>83</v>
      </c>
      <c r="F9" s="391" t="str">
        <f t="shared" si="1"/>
        <v>@ 3.45 per bu</v>
      </c>
      <c r="G9" s="392"/>
      <c r="H9" s="218">
        <f>IF($D$1="NA",0,IF(B9=0,"",IF(E9="","",IFERROR(C9*VLOOKUP(B9,Feed,6,FALSE)*IF(E9="total",1,Inputs!$F$4+Inputs!$F$5),0))))</f>
        <v>79.350000000000009</v>
      </c>
      <c r="J9" s="308"/>
      <c r="K9" s="313"/>
      <c r="L9" s="308"/>
      <c r="M9" s="290"/>
      <c r="N9" s="304"/>
      <c r="O9" s="308"/>
      <c r="P9" s="314">
        <f t="shared" si="2"/>
        <v>0</v>
      </c>
      <c r="R9" s="308" t="str">
        <f>IF(Inputs!B35="","",Inputs!B35)</f>
        <v>Mineral Mix</v>
      </c>
      <c r="W9" s="302"/>
      <c r="X9" s="302">
        <v>6</v>
      </c>
      <c r="Y9" s="302"/>
      <c r="Z9" s="302"/>
    </row>
    <row r="10" spans="2:26">
      <c r="B10" s="344"/>
      <c r="C10" s="366"/>
      <c r="D10" s="133" t="str">
        <f t="shared" si="0"/>
        <v/>
      </c>
      <c r="E10" s="276"/>
      <c r="F10" s="391" t="str">
        <f t="shared" si="1"/>
        <v/>
      </c>
      <c r="G10" s="392"/>
      <c r="H10" s="218" t="str">
        <f>IF($D$1="NA",0,IF(B10=0,"",IF(E10="","",IFERROR(C10*VLOOKUP(B10,Feed,6,FALSE)*IF(E10="total",1,Inputs!$F$4+Inputs!$F$5),0))))</f>
        <v/>
      </c>
      <c r="J10" s="308"/>
      <c r="K10" s="313"/>
      <c r="L10" s="308"/>
      <c r="M10" s="290"/>
      <c r="N10" s="304"/>
      <c r="O10" s="308"/>
      <c r="P10" s="314">
        <f t="shared" si="2"/>
        <v>0</v>
      </c>
      <c r="R10" s="308" t="str">
        <f>IF(Inputs!B36="","",Inputs!B36)</f>
        <v>Corn</v>
      </c>
      <c r="W10" s="302"/>
      <c r="X10" s="302">
        <v>7</v>
      </c>
      <c r="Y10" s="302"/>
      <c r="Z10" s="302"/>
    </row>
    <row r="11" spans="2:26" ht="13.5" thickBot="1">
      <c r="B11" s="367"/>
      <c r="C11" s="366"/>
      <c r="D11" s="133" t="str">
        <f t="shared" si="0"/>
        <v/>
      </c>
      <c r="E11" s="276"/>
      <c r="F11" s="391" t="str">
        <f t="shared" si="1"/>
        <v/>
      </c>
      <c r="G11" s="392"/>
      <c r="H11" s="218" t="str">
        <f>IF($D$1="NA",0,IF(B11=0,"",IF(E11="","",IFERROR(C11*VLOOKUP(B11,Feed,6,FALSE)*IF(E11="total",1,Inputs!$F$4+Inputs!$F$5),0))))</f>
        <v/>
      </c>
      <c r="J11" s="308"/>
      <c r="K11" s="313"/>
      <c r="L11" s="308"/>
      <c r="M11" s="290"/>
      <c r="N11" s="304" t="str">
        <f t="shared" ref="N11" si="3">IF(B11="","",VLOOKUP(B11,Feed,4,FALSE))</f>
        <v/>
      </c>
      <c r="O11" s="308" t="str">
        <f t="shared" ref="O11" si="4">IF($B11="","",VLOOKUP($B11,Feed,5,FALSE))</f>
        <v/>
      </c>
      <c r="P11" s="314">
        <f t="shared" si="2"/>
        <v>0</v>
      </c>
      <c r="R11" s="308" t="str">
        <f>IF(Inputs!B37="","",Inputs!B37)</f>
        <v>Native Pasture - Replacement</v>
      </c>
      <c r="W11" s="302"/>
      <c r="X11" s="302">
        <v>8</v>
      </c>
      <c r="Y11" s="302"/>
      <c r="Z11" s="302"/>
    </row>
    <row r="12" spans="2:26" ht="16.5" thickBot="1">
      <c r="B12" s="106"/>
      <c r="C12" s="73"/>
      <c r="D12" s="73"/>
      <c r="E12" s="73"/>
      <c r="F12" s="73"/>
      <c r="G12" s="57" t="s">
        <v>44</v>
      </c>
      <c r="H12" s="197">
        <f>SUM(H5:H11)</f>
        <v>333.21000000000004</v>
      </c>
      <c r="M12" s="302"/>
      <c r="N12" s="302"/>
      <c r="R12" s="308" t="str">
        <f>IF(Inputs!B38="","",Inputs!B38)</f>
        <v>Native Pasture - Finish</v>
      </c>
      <c r="W12" s="302"/>
      <c r="X12" s="302"/>
      <c r="Y12" s="302"/>
      <c r="Z12" s="302"/>
    </row>
    <row r="13" spans="2:26">
      <c r="B13" s="308"/>
      <c r="C13" s="308"/>
      <c r="D13" s="308"/>
      <c r="E13" s="308"/>
      <c r="F13" s="308"/>
      <c r="G13" s="308"/>
      <c r="M13" s="302"/>
      <c r="N13" s="302"/>
      <c r="R13" s="307" t="str">
        <f>IF(Inputs!B58="","",Inputs!B58)</f>
        <v/>
      </c>
      <c r="W13" s="302"/>
      <c r="X13" s="302"/>
      <c r="Y13" s="302"/>
      <c r="Z13" s="302"/>
    </row>
    <row r="14" spans="2:26">
      <c r="B14" s="308"/>
      <c r="C14" s="308"/>
      <c r="D14" s="308"/>
      <c r="E14" s="308"/>
      <c r="F14" s="308"/>
      <c r="G14" s="308"/>
      <c r="M14" s="302"/>
      <c r="N14" s="302"/>
      <c r="W14" s="302"/>
      <c r="X14" s="302"/>
      <c r="Y14" s="302"/>
      <c r="Z14" s="302"/>
    </row>
    <row r="15" spans="2:26">
      <c r="B15" s="307" t="s">
        <v>10</v>
      </c>
      <c r="M15" s="302"/>
      <c r="N15" s="302"/>
      <c r="W15" s="302"/>
      <c r="X15" s="302"/>
      <c r="Y15" s="302"/>
      <c r="Z15" s="302"/>
    </row>
    <row r="16" spans="2:26">
      <c r="B16" s="307" t="s">
        <v>10</v>
      </c>
      <c r="M16" s="302"/>
      <c r="N16" s="302"/>
      <c r="W16" s="302"/>
      <c r="X16" s="302"/>
      <c r="Y16" s="302"/>
      <c r="Z16" s="302"/>
    </row>
    <row r="17" spans="2:26">
      <c r="B17" s="307" t="s">
        <v>10</v>
      </c>
      <c r="M17" s="302"/>
      <c r="N17" s="302"/>
      <c r="W17" s="302"/>
      <c r="X17" s="302"/>
      <c r="Y17" s="302"/>
      <c r="Z17" s="302"/>
    </row>
    <row r="18" spans="2:26">
      <c r="B18" s="307" t="s">
        <v>10</v>
      </c>
      <c r="M18" s="302"/>
      <c r="N18" s="302"/>
      <c r="W18" s="302"/>
      <c r="X18" s="302"/>
      <c r="Y18" s="302"/>
      <c r="Z18" s="302"/>
    </row>
    <row r="19" spans="2:26">
      <c r="M19" s="302"/>
      <c r="N19" s="302"/>
      <c r="W19" s="302"/>
      <c r="X19" s="302"/>
      <c r="Y19" s="302"/>
      <c r="Z19" s="302"/>
    </row>
    <row r="20" spans="2:26">
      <c r="M20" s="302"/>
      <c r="N20" s="302"/>
      <c r="W20" s="302"/>
      <c r="X20" s="302"/>
      <c r="Y20" s="302"/>
      <c r="Z20" s="302"/>
    </row>
    <row r="21" spans="2:26">
      <c r="M21" s="302"/>
      <c r="N21" s="302"/>
      <c r="W21" s="302"/>
      <c r="X21" s="302"/>
      <c r="Y21" s="302"/>
      <c r="Z21" s="302"/>
    </row>
    <row r="22" spans="2:26">
      <c r="M22" s="302"/>
      <c r="N22" s="302"/>
      <c r="W22" s="302"/>
      <c r="X22" s="302"/>
      <c r="Y22" s="302"/>
      <c r="Z22" s="302"/>
    </row>
    <row r="23" spans="2:26">
      <c r="M23" s="302"/>
      <c r="N23" s="302"/>
      <c r="W23" s="302"/>
      <c r="X23" s="302"/>
      <c r="Y23" s="302"/>
      <c r="Z23" s="302"/>
    </row>
    <row r="24" spans="2:26">
      <c r="M24" s="302"/>
      <c r="N24" s="302"/>
      <c r="W24" s="302"/>
      <c r="X24" s="302"/>
      <c r="Y24" s="302"/>
      <c r="Z24" s="302"/>
    </row>
    <row r="25" spans="2:26">
      <c r="M25" s="302"/>
      <c r="N25" s="302"/>
      <c r="W25" s="302"/>
      <c r="X25" s="302"/>
      <c r="Y25" s="302"/>
      <c r="Z25" s="302"/>
    </row>
    <row r="26" spans="2:26">
      <c r="M26" s="302"/>
      <c r="N26" s="302"/>
      <c r="W26" s="302"/>
      <c r="X26" s="302"/>
      <c r="Y26" s="302"/>
      <c r="Z26" s="302"/>
    </row>
    <row r="27" spans="2:26">
      <c r="M27" s="302"/>
      <c r="N27" s="302"/>
      <c r="W27" s="302"/>
      <c r="X27" s="302"/>
      <c r="Y27" s="302"/>
      <c r="Z27" s="302"/>
    </row>
    <row r="28" spans="2:26">
      <c r="M28" s="302"/>
      <c r="N28" s="302"/>
      <c r="W28" s="302"/>
      <c r="X28" s="302"/>
      <c r="Y28" s="302"/>
      <c r="Z28" s="302"/>
    </row>
    <row r="29" spans="2:26">
      <c r="M29" s="302"/>
      <c r="N29" s="302"/>
      <c r="W29" s="302"/>
      <c r="X29" s="302"/>
      <c r="Y29" s="302"/>
      <c r="Z29" s="302"/>
    </row>
    <row r="30" spans="2:26">
      <c r="M30" s="302"/>
      <c r="N30" s="302"/>
      <c r="W30" s="302"/>
      <c r="X30" s="302"/>
      <c r="Y30" s="302"/>
      <c r="Z30" s="302"/>
    </row>
    <row r="31" spans="2:26">
      <c r="M31" s="302"/>
      <c r="N31" s="302"/>
      <c r="W31" s="302"/>
      <c r="X31" s="302"/>
      <c r="Y31" s="302"/>
      <c r="Z31" s="302"/>
    </row>
    <row r="32" spans="2:26">
      <c r="M32" s="302"/>
      <c r="N32" s="302"/>
      <c r="W32" s="302"/>
      <c r="X32" s="302"/>
      <c r="Y32" s="302"/>
      <c r="Z32" s="302"/>
    </row>
    <row r="33" spans="13:26">
      <c r="M33" s="302"/>
      <c r="N33" s="302"/>
      <c r="W33" s="302"/>
      <c r="X33" s="302"/>
      <c r="Y33" s="302"/>
      <c r="Z33" s="302"/>
    </row>
    <row r="34" spans="13:26">
      <c r="M34" s="302"/>
      <c r="N34" s="302"/>
      <c r="W34" s="302"/>
      <c r="X34" s="302"/>
      <c r="Y34" s="302"/>
      <c r="Z34" s="302"/>
    </row>
    <row r="35" spans="13:26">
      <c r="M35" s="302"/>
      <c r="N35" s="302"/>
      <c r="W35" s="302"/>
      <c r="X35" s="302"/>
      <c r="Y35" s="302"/>
      <c r="Z35" s="302"/>
    </row>
    <row r="36" spans="13:26">
      <c r="M36" s="302"/>
      <c r="N36" s="302"/>
      <c r="W36" s="302"/>
      <c r="X36" s="302"/>
      <c r="Y36" s="302"/>
      <c r="Z36" s="302"/>
    </row>
    <row r="37" spans="13:26">
      <c r="M37" s="302"/>
      <c r="N37" s="302"/>
      <c r="W37" s="302"/>
      <c r="X37" s="302"/>
      <c r="Y37" s="302"/>
      <c r="Z37" s="302"/>
    </row>
    <row r="38" spans="13:26">
      <c r="M38" s="302"/>
      <c r="N38" s="302"/>
      <c r="W38" s="302"/>
      <c r="X38" s="302"/>
      <c r="Y38" s="302"/>
      <c r="Z38" s="302"/>
    </row>
    <row r="39" spans="13:26">
      <c r="M39" s="302"/>
      <c r="N39" s="302"/>
      <c r="W39" s="302"/>
      <c r="X39" s="302"/>
      <c r="Y39" s="302"/>
      <c r="Z39" s="302"/>
    </row>
    <row r="40" spans="13:26">
      <c r="M40" s="302"/>
      <c r="N40" s="302"/>
      <c r="W40" s="302"/>
      <c r="X40" s="302"/>
      <c r="Y40" s="302"/>
      <c r="Z40" s="302"/>
    </row>
    <row r="41" spans="13:26">
      <c r="M41" s="302"/>
      <c r="N41" s="302"/>
      <c r="W41" s="302"/>
      <c r="X41" s="302"/>
      <c r="Y41" s="302"/>
      <c r="Z41" s="302"/>
    </row>
    <row r="42" spans="13:26">
      <c r="M42" s="302"/>
      <c r="N42" s="302"/>
      <c r="W42" s="302"/>
      <c r="X42" s="302"/>
      <c r="Y42" s="302"/>
      <c r="Z42" s="302"/>
    </row>
    <row r="43" spans="13:26">
      <c r="M43" s="302"/>
      <c r="N43" s="302"/>
      <c r="W43" s="302"/>
      <c r="X43" s="302"/>
      <c r="Y43" s="302"/>
      <c r="Z43" s="302"/>
    </row>
    <row r="44" spans="13:26">
      <c r="M44" s="302"/>
      <c r="N44" s="302"/>
      <c r="W44" s="302"/>
      <c r="X44" s="302"/>
      <c r="Y44" s="302"/>
      <c r="Z44" s="302"/>
    </row>
    <row r="45" spans="13:26">
      <c r="M45" s="302"/>
      <c r="N45" s="302"/>
      <c r="W45" s="302"/>
      <c r="X45" s="302"/>
      <c r="Y45" s="302"/>
      <c r="Z45" s="302"/>
    </row>
    <row r="46" spans="13:26">
      <c r="M46" s="302"/>
      <c r="N46" s="302"/>
      <c r="W46" s="302"/>
      <c r="X46" s="302"/>
      <c r="Y46" s="302"/>
      <c r="Z46" s="302"/>
    </row>
    <row r="47" spans="13:26">
      <c r="M47" s="302"/>
      <c r="N47" s="302"/>
      <c r="W47" s="302"/>
      <c r="X47" s="302"/>
      <c r="Y47" s="302"/>
      <c r="Z47" s="302"/>
    </row>
    <row r="48" spans="13:26">
      <c r="M48" s="302"/>
      <c r="N48" s="302"/>
      <c r="W48" s="302"/>
      <c r="X48" s="302"/>
      <c r="Y48" s="302"/>
      <c r="Z48" s="302"/>
    </row>
  </sheetData>
  <sheetProtection sheet="1" objects="1" scenarios="1"/>
  <mergeCells count="11">
    <mergeCell ref="F7:G7"/>
    <mergeCell ref="F8:G8"/>
    <mergeCell ref="F9:G9"/>
    <mergeCell ref="F10:G10"/>
    <mergeCell ref="F11:G11"/>
    <mergeCell ref="F6:G6"/>
    <mergeCell ref="C3:C4"/>
    <mergeCell ref="E3:E4"/>
    <mergeCell ref="K3:M3"/>
    <mergeCell ref="F4:G4"/>
    <mergeCell ref="F5:G5"/>
  </mergeCells>
  <dataValidations count="2">
    <dataValidation type="list" allowBlank="1" showInputMessage="1" showErrorMessage="1" sqref="B5:B11">
      <formula1>$R$5:$R$12</formula1>
    </dataValidation>
    <dataValidation type="list" allowBlank="1" showInputMessage="1" showErrorMessage="1" sqref="E5:E11">
      <formula1>$J$5:$J$7</formula1>
    </dataValidation>
  </dataValidations>
  <printOptions horizontalCentered="1"/>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codeName="Sheet2"/>
  <dimension ref="A1:AB83"/>
  <sheetViews>
    <sheetView showZeros="0" workbookViewId="0"/>
  </sheetViews>
  <sheetFormatPr defaultRowHeight="12.75"/>
  <cols>
    <col min="1" max="1" width="46.85546875" style="282" customWidth="1"/>
    <col min="2" max="2" width="26.7109375" style="282" customWidth="1"/>
    <col min="3" max="3" width="10.5703125" style="282" customWidth="1"/>
    <col min="4" max="4" width="6.42578125" style="282" customWidth="1"/>
    <col min="5" max="5" width="11.42578125" style="282" customWidth="1"/>
    <col min="6" max="6" width="9.140625" style="282" customWidth="1"/>
    <col min="7" max="7" width="9.140625" style="282"/>
    <col min="8" max="8" width="10.28515625" style="282" customWidth="1"/>
    <col min="9" max="9" width="11" style="282" customWidth="1"/>
    <col min="10" max="10" width="11.5703125" style="282" customWidth="1"/>
    <col min="11" max="11" width="4.42578125" style="282" customWidth="1"/>
    <col min="12" max="12" width="21.42578125" style="282" customWidth="1"/>
    <col min="13" max="15" width="10.5703125" style="282" customWidth="1"/>
    <col min="16" max="19" width="9.140625" style="282"/>
    <col min="20" max="20" width="9.140625" style="303"/>
    <col min="21" max="16384" width="9.140625" style="282"/>
  </cols>
  <sheetData>
    <row r="1" spans="1:27" s="307" customFormat="1" ht="29.25" customHeight="1" thickBot="1">
      <c r="A1" s="282"/>
      <c r="B1" s="238" t="s">
        <v>131</v>
      </c>
      <c r="C1" s="239" t="str">
        <f>CONCATENATE("(",Inputs!F3," Does)")</f>
        <v>(30 Does)</v>
      </c>
      <c r="D1" s="166"/>
      <c r="E1" s="166"/>
      <c r="F1" s="166"/>
      <c r="G1" s="166"/>
      <c r="H1" s="166"/>
      <c r="I1" s="59"/>
      <c r="J1" s="139"/>
    </row>
    <row r="2" spans="1:27" s="307" customFormat="1" ht="30" customHeight="1" thickBot="1">
      <c r="A2" s="282"/>
      <c r="B2" s="106" t="s">
        <v>35</v>
      </c>
      <c r="C2" s="178"/>
      <c r="D2" s="179"/>
      <c r="E2" s="179"/>
      <c r="F2" s="179"/>
      <c r="G2" s="179"/>
      <c r="H2" s="225" t="s">
        <v>145</v>
      </c>
      <c r="I2" s="226" t="s">
        <v>146</v>
      </c>
      <c r="J2" s="227" t="s">
        <v>178</v>
      </c>
    </row>
    <row r="3" spans="1:27" s="307" customFormat="1">
      <c r="A3" s="282"/>
      <c r="B3" s="111"/>
      <c r="C3" s="71" t="s">
        <v>52</v>
      </c>
      <c r="D3" s="74"/>
      <c r="E3" s="109" t="s">
        <v>36</v>
      </c>
      <c r="F3" s="109" t="s">
        <v>4</v>
      </c>
      <c r="G3" s="79"/>
      <c r="H3" s="112" t="s">
        <v>37</v>
      </c>
      <c r="I3" s="112" t="s">
        <v>37</v>
      </c>
      <c r="J3" s="110" t="s">
        <v>37</v>
      </c>
    </row>
    <row r="4" spans="1:27" s="307" customFormat="1">
      <c r="A4" s="282"/>
      <c r="B4" s="84" t="s">
        <v>132</v>
      </c>
      <c r="C4" s="116">
        <f>IF(Inputs!F15/2&lt;Inputs!F4+Inputs!F5,Inputs!F15/2,Inputs!F15-IF(Inputs!F6="No",Inputs!F4+Inputs!F5,0))</f>
        <v>44</v>
      </c>
      <c r="D4" s="79" t="s">
        <v>5</v>
      </c>
      <c r="E4" s="87">
        <f>Inputs!F16</f>
        <v>45</v>
      </c>
      <c r="F4" s="87">
        <f>Inputs!F17</f>
        <v>1.45</v>
      </c>
      <c r="G4" s="85" t="s">
        <v>154</v>
      </c>
      <c r="H4" s="180">
        <f>C4*E4*F4</f>
        <v>2871</v>
      </c>
      <c r="I4" s="131">
        <f>IF(Inputs!F3=0,0,H4/(Inputs!$F$3))</f>
        <v>95.7</v>
      </c>
      <c r="J4" s="86">
        <f>IF($C$4=0,0,H4/$C$4)</f>
        <v>65.25</v>
      </c>
    </row>
    <row r="5" spans="1:27" s="307" customFormat="1">
      <c r="A5" s="282"/>
      <c r="B5" s="84" t="s">
        <v>133</v>
      </c>
      <c r="C5" s="116">
        <f>Inputs!F4</f>
        <v>5</v>
      </c>
      <c r="D5" s="79" t="s">
        <v>5</v>
      </c>
      <c r="E5" s="87"/>
      <c r="F5" s="87">
        <f>Inputs!F9</f>
        <v>65</v>
      </c>
      <c r="G5" s="85" t="s">
        <v>3</v>
      </c>
      <c r="H5" s="180">
        <f>C5*F5</f>
        <v>325</v>
      </c>
      <c r="I5" s="131">
        <f>IF(Inputs!F3=0,0,H5/Inputs!F3)</f>
        <v>10.833333333333334</v>
      </c>
      <c r="J5" s="86">
        <f>IF($C$4=0,0,H5/$C$4)</f>
        <v>7.3863636363636367</v>
      </c>
    </row>
    <row r="6" spans="1:27" s="307" customFormat="1" ht="13.5" thickBot="1">
      <c r="A6" s="282"/>
      <c r="B6" s="84"/>
      <c r="C6" s="66"/>
      <c r="D6" s="85"/>
      <c r="E6" s="85"/>
      <c r="F6"/>
      <c r="G6" s="85"/>
      <c r="H6" s="180"/>
      <c r="I6" s="20"/>
      <c r="J6" s="91"/>
      <c r="L6" s="308"/>
    </row>
    <row r="7" spans="1:27" s="307" customFormat="1" ht="16.5" thickBot="1">
      <c r="A7" s="282"/>
      <c r="B7" s="106"/>
      <c r="C7" s="78"/>
      <c r="D7" s="78"/>
      <c r="E7" s="73"/>
      <c r="F7" s="101"/>
      <c r="G7" s="57" t="s">
        <v>38</v>
      </c>
      <c r="H7" s="181">
        <f>SUM(H4:H6)</f>
        <v>3196</v>
      </c>
      <c r="I7" s="132">
        <f>SUM(I4:I6)</f>
        <v>106.53333333333333</v>
      </c>
      <c r="J7" s="171">
        <f>SUM(J4:J6)</f>
        <v>72.63636363636364</v>
      </c>
    </row>
    <row r="8" spans="1:27" s="307" customFormat="1" ht="13.5" thickBot="1">
      <c r="A8" s="282"/>
      <c r="B8" s="104"/>
      <c r="C8" s="58"/>
      <c r="D8" s="79"/>
      <c r="E8" s="58"/>
      <c r="F8" s="58"/>
      <c r="G8" s="58"/>
      <c r="H8" s="182"/>
      <c r="I8" s="58"/>
      <c r="J8" s="58"/>
    </row>
    <row r="9" spans="1:27" s="307" customFormat="1" ht="27" thickBot="1">
      <c r="A9" s="282"/>
      <c r="B9" s="106" t="s">
        <v>39</v>
      </c>
      <c r="C9" s="178"/>
      <c r="D9" s="179"/>
      <c r="E9" s="179"/>
      <c r="F9" s="179"/>
      <c r="G9" s="179"/>
      <c r="H9" s="175" t="s">
        <v>145</v>
      </c>
      <c r="I9" s="164" t="s">
        <v>146</v>
      </c>
      <c r="J9" s="227" t="s">
        <v>178</v>
      </c>
    </row>
    <row r="10" spans="1:27" s="307" customFormat="1">
      <c r="A10" s="282"/>
      <c r="B10" s="117" t="s">
        <v>80</v>
      </c>
      <c r="C10" s="71" t="s">
        <v>52</v>
      </c>
      <c r="D10" s="109"/>
      <c r="E10" s="109" t="s">
        <v>4</v>
      </c>
      <c r="F10" s="81"/>
      <c r="G10" s="315"/>
      <c r="H10" s="320" t="s">
        <v>37</v>
      </c>
      <c r="I10" s="321" t="s">
        <v>37</v>
      </c>
      <c r="J10" s="141" t="s">
        <v>37</v>
      </c>
    </row>
    <row r="11" spans="1:27" s="307" customFormat="1">
      <c r="A11" s="282"/>
      <c r="B11" s="84" t="s">
        <v>134</v>
      </c>
      <c r="C11" s="400" t="s">
        <v>161</v>
      </c>
      <c r="D11" s="401"/>
      <c r="E11" s="401"/>
      <c r="F11" s="401"/>
      <c r="G11" s="402"/>
      <c r="H11" s="180">
        <f>Bucks!H35</f>
        <v>196.65440000000001</v>
      </c>
      <c r="I11" s="131">
        <f>IF(Inputs!$F$3=0,0,H11/(Inputs!$F$3))</f>
        <v>6.5551466666666673</v>
      </c>
      <c r="J11" s="86">
        <f>IF($C$4=0,0,H11/$C$4)</f>
        <v>4.469418181818182</v>
      </c>
    </row>
    <row r="12" spans="1:27" s="307" customFormat="1">
      <c r="A12" s="282"/>
      <c r="B12" s="84" t="s">
        <v>135</v>
      </c>
      <c r="C12" s="186">
        <f>IF(Inputs!$F$6="Yes",Inputs!$F$4+Inputs!$F$5,0)</f>
        <v>0</v>
      </c>
      <c r="D12" s="97"/>
      <c r="E12" s="187" t="str">
        <f>IF(Inputs!$F$6="Yes",IF(Inputs!$F$7=0,"Enter Replacement Dow Cost",Inputs!$F$7),"N/A")</f>
        <v>N/A</v>
      </c>
      <c r="F12" s="85" t="s">
        <v>40</v>
      </c>
      <c r="G12" s="121"/>
      <c r="H12" s="180" t="str">
        <f>IF(E12="N/A","",C12*E12)</f>
        <v/>
      </c>
      <c r="I12" s="131" t="str">
        <f>IF(E12="N/A","",IF(Inputs!$F$3=0,0,H12/(Inputs!$F$3)))</f>
        <v/>
      </c>
      <c r="J12" s="86" t="str">
        <f>IF($E$12="N/A","",IF(Inputs!$F$15=0,0,H12/(Inputs!$F$15-Inputs!$F$4-Inputs!$F$5)))</f>
        <v/>
      </c>
    </row>
    <row r="13" spans="1:27" s="307" customFormat="1">
      <c r="A13" s="282"/>
      <c r="B13" s="84"/>
      <c r="C13" s="67"/>
      <c r="D13" s="97"/>
      <c r="E13" s="97"/>
      <c r="F13" s="85"/>
      <c r="G13" s="121"/>
      <c r="H13" s="180"/>
      <c r="I13" s="180"/>
      <c r="J13" s="199"/>
      <c r="T13" s="308" t="s">
        <v>78</v>
      </c>
    </row>
    <row r="14" spans="1:27" s="307" customFormat="1" ht="12.75" customHeight="1">
      <c r="A14" s="282"/>
      <c r="B14" s="84"/>
      <c r="C14" s="393" t="s">
        <v>81</v>
      </c>
      <c r="D14" s="370"/>
      <c r="E14" s="395" t="s">
        <v>82</v>
      </c>
      <c r="F14" s="85"/>
      <c r="G14" s="121"/>
      <c r="H14" s="180"/>
      <c r="I14" s="20"/>
      <c r="J14" s="200"/>
      <c r="L14" s="308"/>
      <c r="M14" s="396"/>
      <c r="N14" s="396"/>
      <c r="O14" s="396"/>
      <c r="Q14" s="309"/>
      <c r="R14" s="309"/>
      <c r="T14" s="308" t="s">
        <v>83</v>
      </c>
      <c r="U14" s="309"/>
      <c r="V14" s="309"/>
      <c r="W14" s="309"/>
      <c r="X14" s="309"/>
      <c r="Y14" s="309"/>
      <c r="Z14" s="309">
        <v>1</v>
      </c>
      <c r="AA14" s="309"/>
    </row>
    <row r="15" spans="1:27" s="307" customFormat="1" ht="14.25" customHeight="1">
      <c r="A15" s="282"/>
      <c r="B15" s="118" t="s">
        <v>151</v>
      </c>
      <c r="C15" s="394"/>
      <c r="D15" s="370"/>
      <c r="E15" s="395"/>
      <c r="F15" s="397" t="s">
        <v>4</v>
      </c>
      <c r="G15" s="407"/>
      <c r="H15" s="321" t="s">
        <v>37</v>
      </c>
      <c r="I15" s="321" t="s">
        <v>37</v>
      </c>
      <c r="J15" s="141" t="s">
        <v>37</v>
      </c>
      <c r="L15" s="310"/>
      <c r="M15" s="311"/>
      <c r="N15" s="311"/>
      <c r="O15" s="311"/>
      <c r="P15" s="312"/>
      <c r="Q15" s="309"/>
      <c r="R15" s="309"/>
      <c r="U15" s="309"/>
      <c r="V15" s="309"/>
      <c r="W15" s="309"/>
      <c r="X15" s="309"/>
      <c r="Y15" s="309"/>
      <c r="Z15" s="309"/>
      <c r="AA15" s="309"/>
    </row>
    <row r="16" spans="1:27" s="307" customFormat="1" ht="12.75" customHeight="1">
      <c r="A16" s="282"/>
      <c r="B16" s="275" t="s">
        <v>99</v>
      </c>
      <c r="C16" s="316">
        <v>4</v>
      </c>
      <c r="D16" s="133" t="str">
        <f t="shared" ref="D16:D22" si="0">IF(B16="","",CONCATENATE(VLOOKUP(B16,Feed,4,FALSE),"s"))</f>
        <v>months</v>
      </c>
      <c r="E16" s="273" t="s">
        <v>78</v>
      </c>
      <c r="F16" s="391" t="str">
        <f t="shared" ref="F16:F22" si="1">IF(B16="","",CONCATENATE("@ ",TEXT(VLOOKUP($B16,Feed,6,FALSE),"0.00")," per ",VLOOKUP(B16,Feed,4,FALSE)))</f>
        <v>@  per month</v>
      </c>
      <c r="G16" s="406"/>
      <c r="H16" s="180">
        <f>IF(B16=0,0,IFERROR((IF(E16=0,0,C16*VLOOKUP(B16,Feed,6,FALSE)*IF(E16="total",1,Inputs!$F$3))),0))</f>
        <v>0</v>
      </c>
      <c r="I16" s="378">
        <f>IF(Inputs!$F$3=0,0,IF(Herd!H16=0,0,Herd!H16/Inputs!$F$3))</f>
        <v>0</v>
      </c>
      <c r="J16" s="218">
        <f>IF($C$4=0,0,H16/$C$4)</f>
        <v>0</v>
      </c>
      <c r="L16" s="307" t="s">
        <v>78</v>
      </c>
      <c r="M16" s="313"/>
      <c r="N16" s="308"/>
      <c r="O16" s="308"/>
      <c r="P16" s="308"/>
      <c r="Q16" s="308"/>
      <c r="R16" s="314">
        <f t="shared" ref="R16:R22" si="2">M16+N16+O16</f>
        <v>0</v>
      </c>
      <c r="T16" s="308" t="str">
        <f>IF(Inputs!B31="","",Inputs!B31)</f>
        <v>Native Pasture - Does</v>
      </c>
      <c r="Z16" s="307">
        <v>2</v>
      </c>
    </row>
    <row r="17" spans="1:27" s="307" customFormat="1" ht="14.25" customHeight="1">
      <c r="A17" s="282"/>
      <c r="B17" s="275" t="s">
        <v>91</v>
      </c>
      <c r="C17" s="316">
        <v>195</v>
      </c>
      <c r="D17" s="133" t="str">
        <f t="shared" si="0"/>
        <v>bus</v>
      </c>
      <c r="E17" s="273" t="s">
        <v>83</v>
      </c>
      <c r="F17" s="391" t="str">
        <f t="shared" si="1"/>
        <v>@ 3.45 per bu</v>
      </c>
      <c r="G17" s="406"/>
      <c r="H17" s="180">
        <f>IF(B17=0,"",IF(E17="","",C17*VLOOKUP(B17,Feed,6,FALSE)*IF(E17="total",1,Inputs!$F$3)))</f>
        <v>672.75</v>
      </c>
      <c r="I17" s="378">
        <f>IF(Inputs!$F$3=0,0,IF(Herd!H17=0,0,Herd!H17/Inputs!$F$3))</f>
        <v>22.425000000000001</v>
      </c>
      <c r="J17" s="218">
        <f t="shared" ref="J17:J23" si="3">IF($C$4=0,0,H17/$C$4)</f>
        <v>15.289772727272727</v>
      </c>
      <c r="L17" s="307" t="s">
        <v>83</v>
      </c>
      <c r="M17" s="313"/>
      <c r="N17" s="308"/>
      <c r="O17" s="308"/>
      <c r="P17" s="308"/>
      <c r="Q17" s="308"/>
      <c r="R17" s="314">
        <f t="shared" si="2"/>
        <v>0</v>
      </c>
      <c r="T17" s="308" t="str">
        <f>IF(Inputs!B32="","",Inputs!B32)</f>
        <v>Prairie Hay</v>
      </c>
      <c r="Z17" s="307">
        <v>3</v>
      </c>
    </row>
    <row r="18" spans="1:27" s="307" customFormat="1">
      <c r="A18" s="282"/>
      <c r="B18" s="275" t="s">
        <v>76</v>
      </c>
      <c r="C18" s="316">
        <v>240</v>
      </c>
      <c r="D18" s="133" t="str">
        <f t="shared" si="0"/>
        <v>lbs</v>
      </c>
      <c r="E18" s="273" t="s">
        <v>78</v>
      </c>
      <c r="F18" s="391" t="str">
        <f t="shared" si="1"/>
        <v>@ 0.04 per lb</v>
      </c>
      <c r="G18" s="406"/>
      <c r="H18" s="180">
        <f>IF(B18=0,"",IF(E18="","",C18*VLOOKUP(B18,Feed,6,FALSE)*IF(E18="total",1,Inputs!$F$3)))</f>
        <v>288</v>
      </c>
      <c r="I18" s="378">
        <f>IF(Inputs!$F$3=0,0,IF(Herd!H18=0,0,Herd!H18/Inputs!$F$3))</f>
        <v>9.6</v>
      </c>
      <c r="J18" s="218">
        <f t="shared" si="3"/>
        <v>6.5454545454545459</v>
      </c>
      <c r="L18" s="308"/>
      <c r="M18" s="313"/>
      <c r="N18" s="308"/>
      <c r="O18" s="308"/>
      <c r="P18" s="308"/>
      <c r="Q18" s="308"/>
      <c r="R18" s="314">
        <f t="shared" si="2"/>
        <v>0</v>
      </c>
      <c r="T18" s="308" t="str">
        <f>IF(Inputs!B33="","",Inputs!B33)</f>
        <v>Alfalfa Hay</v>
      </c>
      <c r="Z18" s="307">
        <v>4</v>
      </c>
    </row>
    <row r="19" spans="1:27" s="307" customFormat="1">
      <c r="A19" s="282"/>
      <c r="B19" s="275" t="s">
        <v>94</v>
      </c>
      <c r="C19" s="316">
        <v>9.6</v>
      </c>
      <c r="D19" s="133" t="str">
        <f t="shared" si="0"/>
        <v>lbs</v>
      </c>
      <c r="E19" s="273" t="s">
        <v>78</v>
      </c>
      <c r="F19" s="391" t="str">
        <f t="shared" si="1"/>
        <v>@ 0.63 per lb</v>
      </c>
      <c r="G19" s="406"/>
      <c r="H19" s="180">
        <f>IF(B19=0,"",IF(E19="","",C19*VLOOKUP(B19,Feed,6,FALSE)*IF(E19="total",1,Inputs!$F$3)))</f>
        <v>181.44</v>
      </c>
      <c r="I19" s="378">
        <f>IF(Inputs!$F$3=0,0,IF(Herd!H19=0,0,Herd!H19/Inputs!$F$3))</f>
        <v>6.048</v>
      </c>
      <c r="J19" s="218">
        <f t="shared" si="3"/>
        <v>4.123636363636364</v>
      </c>
      <c r="L19" s="308"/>
      <c r="M19" s="313"/>
      <c r="N19" s="308"/>
      <c r="O19" s="308"/>
      <c r="P19" s="308"/>
      <c r="Q19" s="308"/>
      <c r="R19" s="314">
        <f t="shared" si="2"/>
        <v>0</v>
      </c>
      <c r="T19" s="308" t="str">
        <f>IF(Inputs!B34="","",Inputs!B34)</f>
        <v>Creep Feed</v>
      </c>
      <c r="Z19" s="307">
        <v>5</v>
      </c>
    </row>
    <row r="20" spans="1:27" s="307" customFormat="1">
      <c r="A20" s="282"/>
      <c r="B20" s="275" t="s">
        <v>181</v>
      </c>
      <c r="C20" s="316">
        <v>240</v>
      </c>
      <c r="D20" s="133" t="str">
        <f t="shared" si="0"/>
        <v>lbs</v>
      </c>
      <c r="E20" s="273" t="s">
        <v>78</v>
      </c>
      <c r="F20" s="408" t="str">
        <f t="shared" si="1"/>
        <v>@ 0.03 per lb</v>
      </c>
      <c r="G20" s="409"/>
      <c r="H20" s="180">
        <f>IF(B20=0,"",IF(E20="","",C20*VLOOKUP(B20,Feed,6,FALSE)*IF(E20="total",1,Inputs!$F$3)))</f>
        <v>240</v>
      </c>
      <c r="I20" s="378">
        <f>IF(Inputs!$F$3=0,0,IF(Herd!H20=0,0,Herd!H20/Inputs!$F$3))</f>
        <v>8</v>
      </c>
      <c r="J20" s="218">
        <f t="shared" si="3"/>
        <v>5.4545454545454541</v>
      </c>
      <c r="L20" s="308"/>
      <c r="M20" s="313"/>
      <c r="N20" s="308"/>
      <c r="O20" s="308"/>
      <c r="P20" s="308"/>
      <c r="Q20" s="308"/>
      <c r="R20" s="314">
        <f t="shared" si="2"/>
        <v>0</v>
      </c>
      <c r="T20" s="308" t="str">
        <f>IF(Inputs!B35="","",Inputs!B35)</f>
        <v>Mineral Mix</v>
      </c>
      <c r="Z20" s="307">
        <v>6</v>
      </c>
    </row>
    <row r="21" spans="1:27" s="307" customFormat="1">
      <c r="A21" s="282"/>
      <c r="B21" s="275"/>
      <c r="C21" s="316"/>
      <c r="D21" s="133" t="str">
        <f t="shared" si="0"/>
        <v/>
      </c>
      <c r="E21" s="273"/>
      <c r="F21" s="391" t="str">
        <f t="shared" si="1"/>
        <v/>
      </c>
      <c r="G21" s="406"/>
      <c r="H21" s="180">
        <f>IF(B21=0,0,IF(E21="",0,C21*VLOOKUP(B21,Feed,6,FALSE)*IF(E21="total",1,Inputs!$F$3)))</f>
        <v>0</v>
      </c>
      <c r="I21" s="378">
        <f>IF(Inputs!$F$3=0,0,IF(Herd!H21=0,0,Herd!H21/Inputs!$F$3))</f>
        <v>0</v>
      </c>
      <c r="J21" s="218">
        <f t="shared" si="3"/>
        <v>0</v>
      </c>
      <c r="L21" s="308"/>
      <c r="M21" s="313"/>
      <c r="N21" s="308"/>
      <c r="O21" s="308"/>
      <c r="P21" s="308"/>
      <c r="Q21" s="308"/>
      <c r="R21" s="314">
        <f t="shared" si="2"/>
        <v>0</v>
      </c>
      <c r="T21" s="308" t="str">
        <f>IF(Inputs!B36="","",Inputs!B36)</f>
        <v>Corn</v>
      </c>
      <c r="Z21" s="307">
        <v>7</v>
      </c>
    </row>
    <row r="22" spans="1:27" s="307" customFormat="1">
      <c r="A22" s="282"/>
      <c r="B22" s="275" t="s">
        <v>10</v>
      </c>
      <c r="C22" s="316"/>
      <c r="D22" s="133" t="str">
        <f t="shared" si="0"/>
        <v/>
      </c>
      <c r="E22" s="273"/>
      <c r="F22" s="391" t="str">
        <f t="shared" si="1"/>
        <v/>
      </c>
      <c r="G22" s="406"/>
      <c r="H22" s="180">
        <f>IF(B22=0,0,IF(E22="",0,C22*VLOOKUP(B22,Feed,6,FALSE)*IF(E22="total",1,Inputs!$F$3)))</f>
        <v>0</v>
      </c>
      <c r="I22" s="378">
        <f>IF(Inputs!$F$3=0,0,IF(Herd!H22=0,0,Herd!H22/Inputs!$F$3))</f>
        <v>0</v>
      </c>
      <c r="J22" s="218">
        <f t="shared" si="3"/>
        <v>0</v>
      </c>
      <c r="L22" s="308"/>
      <c r="M22" s="313"/>
      <c r="N22" s="308"/>
      <c r="O22" s="308"/>
      <c r="P22" s="308"/>
      <c r="Q22" s="308"/>
      <c r="R22" s="314">
        <f t="shared" si="2"/>
        <v>0</v>
      </c>
      <c r="T22" s="308" t="str">
        <f>IF(Inputs!B37="","",Inputs!B37)</f>
        <v>Native Pasture - Replacement</v>
      </c>
      <c r="Z22" s="307">
        <v>8</v>
      </c>
    </row>
    <row r="23" spans="1:27" s="307" customFormat="1" ht="13.5" thickBot="1">
      <c r="A23" s="282"/>
      <c r="B23" s="84" t="s">
        <v>136</v>
      </c>
      <c r="C23" s="403" t="s">
        <v>162</v>
      </c>
      <c r="D23" s="404"/>
      <c r="E23" s="404"/>
      <c r="F23" s="404"/>
      <c r="G23" s="405"/>
      <c r="H23" s="183">
        <f>Replacement!H12</f>
        <v>333.21000000000004</v>
      </c>
      <c r="I23" s="379">
        <f>IF(Inputs!$F$3=0,0,IF(Herd!H23=0,0,Herd!H23/Inputs!$F$3))</f>
        <v>11.107000000000001</v>
      </c>
      <c r="J23" s="380">
        <f t="shared" si="3"/>
        <v>7.5729545454545466</v>
      </c>
      <c r="L23" s="308"/>
      <c r="M23" s="313"/>
      <c r="N23" s="308"/>
      <c r="O23" s="308"/>
      <c r="P23" s="308"/>
      <c r="Q23" s="308"/>
      <c r="R23" s="314"/>
      <c r="T23" s="308"/>
    </row>
    <row r="24" spans="1:27" s="307" customFormat="1" ht="13.5" thickTop="1">
      <c r="A24" s="282"/>
      <c r="B24" s="84"/>
      <c r="C24" s="66"/>
      <c r="D24" s="85"/>
      <c r="E24" s="85"/>
      <c r="F24" s="108"/>
      <c r="G24" s="317" t="s">
        <v>42</v>
      </c>
      <c r="H24" s="322">
        <f>SUM(H16:H23)</f>
        <v>1715.4</v>
      </c>
      <c r="I24" s="324">
        <f>SUM(I16:I23)</f>
        <v>57.18</v>
      </c>
      <c r="J24" s="138">
        <f>SUM(J16:J23)</f>
        <v>38.986363636363635</v>
      </c>
      <c r="T24" s="308" t="str">
        <f>IF(Inputs!B38="","",Inputs!B38)</f>
        <v>Native Pasture - Finish</v>
      </c>
    </row>
    <row r="25" spans="1:27" s="307" customFormat="1" ht="12.75" customHeight="1">
      <c r="A25" s="282"/>
      <c r="B25" s="84"/>
      <c r="C25" s="66"/>
      <c r="D25" s="85"/>
      <c r="E25" s="108"/>
      <c r="F25" s="85"/>
      <c r="G25" s="121"/>
      <c r="H25" s="180"/>
      <c r="I25" s="20"/>
      <c r="J25" s="91"/>
      <c r="T25" s="308" t="str">
        <f>IF(Inputs!B39="","",Inputs!B39)</f>
        <v>Native Pasture - Bucks</v>
      </c>
      <c r="AA25" s="308"/>
    </row>
    <row r="26" spans="1:27" s="307" customFormat="1">
      <c r="A26" s="282"/>
      <c r="B26" s="118" t="s">
        <v>84</v>
      </c>
      <c r="C26" s="66"/>
      <c r="D26" s="85"/>
      <c r="E26" s="129" t="s">
        <v>56</v>
      </c>
      <c r="F26" s="74"/>
      <c r="G26" s="122"/>
      <c r="H26" s="320" t="s">
        <v>37</v>
      </c>
      <c r="I26" s="321" t="s">
        <v>37</v>
      </c>
      <c r="J26" s="141" t="s">
        <v>37</v>
      </c>
      <c r="T26" s="308" t="str">
        <f>IF(Inputs!B40="","",Inputs!B40)</f>
        <v/>
      </c>
      <c r="AA26" s="308"/>
    </row>
    <row r="27" spans="1:27" s="307" customFormat="1">
      <c r="A27" s="282"/>
      <c r="B27" s="84" t="str">
        <f>Inputs!B44</f>
        <v>Labor</v>
      </c>
      <c r="C27" s="66"/>
      <c r="D27" s="85"/>
      <c r="E27" s="120">
        <f t="shared" ref="E27:E36" si="4">IF(B27="","",VLOOKUP(B27,NonFeed,4,FALSE))</f>
        <v>0.75</v>
      </c>
      <c r="F27" s="95"/>
      <c r="G27" s="318"/>
      <c r="H27" s="180">
        <f>IF(B27="","",E27*VLOOKUP(B27,NonFeed,2,FALSE)*IF(VLOOKUP(B27,NonFeed,3,FALSE)="per animal",Inputs!$F$3,1))</f>
        <v>375</v>
      </c>
      <c r="I27" s="378">
        <f>IF(Inputs!$F$3=0,"",IF(Herd!H27="","",Herd!H27/Inputs!$F$3))</f>
        <v>12.5</v>
      </c>
      <c r="J27" s="218">
        <f t="shared" ref="J27:J37" si="5">IF($C$4=0,0,H27/$C$4)</f>
        <v>8.5227272727272734</v>
      </c>
      <c r="AA27" s="308"/>
    </row>
    <row r="28" spans="1:27" s="307" customFormat="1">
      <c r="A28" s="282"/>
      <c r="B28" s="84" t="str">
        <f>Inputs!B45</f>
        <v>Fuel</v>
      </c>
      <c r="C28" s="66"/>
      <c r="D28" s="85"/>
      <c r="E28" s="120">
        <f t="shared" si="4"/>
        <v>0.75</v>
      </c>
      <c r="F28" s="95"/>
      <c r="G28" s="121"/>
      <c r="H28" s="180">
        <f>IF(B28="","",E28*VLOOKUP(B28,NonFeed,2,FALSE)*IF(VLOOKUP(B28,NonFeed,3,FALSE)="per animal",Inputs!$F$3,1))</f>
        <v>225</v>
      </c>
      <c r="I28" s="378">
        <f>IF(Inputs!$F$3=0,"",IF(Herd!H28="","",Herd!H28/Inputs!$F$3))</f>
        <v>7.5</v>
      </c>
      <c r="J28" s="218">
        <f t="shared" si="5"/>
        <v>5.1136363636363633</v>
      </c>
      <c r="AA28" s="308"/>
    </row>
    <row r="29" spans="1:27" s="307" customFormat="1">
      <c r="A29" s="282"/>
      <c r="B29" s="84" t="str">
        <f>Inputs!B46</f>
        <v>Vaccinations</v>
      </c>
      <c r="C29" s="66"/>
      <c r="D29" s="85"/>
      <c r="E29" s="120">
        <f t="shared" si="4"/>
        <v>0.75</v>
      </c>
      <c r="F29" s="95"/>
      <c r="G29" s="121"/>
      <c r="H29" s="180">
        <f>IF(B29="","",E29*VLOOKUP(B29,NonFeed,2,FALSE)*IF(VLOOKUP(B29,NonFeed,3,FALSE)="per animal",Inputs!$F$3,1))</f>
        <v>112.5</v>
      </c>
      <c r="I29" s="378">
        <f>IF(Inputs!$F$3=0,"",IF(Herd!H29="","",Herd!H29/Inputs!$F$3))</f>
        <v>3.75</v>
      </c>
      <c r="J29" s="218">
        <f t="shared" si="5"/>
        <v>2.5568181818181817</v>
      </c>
      <c r="AA29" s="308"/>
    </row>
    <row r="30" spans="1:27" s="307" customFormat="1">
      <c r="A30" s="282"/>
      <c r="B30" s="84" t="str">
        <f>Inputs!B47</f>
        <v>Weaned Kid Marketing</v>
      </c>
      <c r="C30" s="66"/>
      <c r="D30" s="85"/>
      <c r="E30" s="120">
        <f t="shared" si="4"/>
        <v>1</v>
      </c>
      <c r="F30" s="95"/>
      <c r="G30" s="121"/>
      <c r="H30" s="180">
        <f>IF(B30="","",E30*VLOOKUP(B30,NonFeed,2,FALSE)*IF(VLOOKUP(B30,NonFeed,3,FALSE)="per animal",Inputs!$F$15-IF(Inputs!F6="No",Inputs!$F$4+Inputs!$F$5,0),1))</f>
        <v>400</v>
      </c>
      <c r="I30" s="378">
        <f>IF(Inputs!$F$3=0,"",IF(Herd!H30="","",Herd!H30/Inputs!$F$3))</f>
        <v>13.333333333333334</v>
      </c>
      <c r="J30" s="218">
        <f t="shared" si="5"/>
        <v>9.0909090909090917</v>
      </c>
      <c r="AA30" s="308"/>
    </row>
    <row r="31" spans="1:27" s="307" customFormat="1">
      <c r="A31" s="282"/>
      <c r="B31" s="41" t="s">
        <v>128</v>
      </c>
      <c r="C31" s="66"/>
      <c r="D31" s="85"/>
      <c r="E31" s="120">
        <f t="shared" si="4"/>
        <v>1</v>
      </c>
      <c r="F31" s="95"/>
      <c r="G31" s="121"/>
      <c r="H31" s="180">
        <f>IF(B31="","",E31*VLOOKUP(B31,NonFeed,2,FALSE)*IF(VLOOKUP(B31,NonFeed,3,FALSE)="per animal",Inputs!$F$4,1))</f>
        <v>25</v>
      </c>
      <c r="I31" s="378">
        <f>IF(Inputs!$F$3=0,"",IF(Herd!H31="","",Herd!H31/Inputs!$F$3))</f>
        <v>0.83333333333333337</v>
      </c>
      <c r="J31" s="218">
        <f t="shared" si="5"/>
        <v>0.56818181818181823</v>
      </c>
      <c r="AA31" s="308"/>
    </row>
    <row r="32" spans="1:27" s="307" customFormat="1">
      <c r="A32" s="282"/>
      <c r="B32" s="275" t="s">
        <v>93</v>
      </c>
      <c r="C32" s="66"/>
      <c r="D32" s="85"/>
      <c r="E32" s="120">
        <f t="shared" si="4"/>
        <v>0.75</v>
      </c>
      <c r="F32" s="95"/>
      <c r="G32" s="121"/>
      <c r="H32" s="180">
        <f>IF(B32="","",E32*VLOOKUP(B32,NonFeed,2,FALSE)*IF(VLOOKUP(B32,NonFeed,3,FALSE)="per animal",Inputs!$F$3,1))</f>
        <v>75</v>
      </c>
      <c r="I32" s="378">
        <f>IF(Inputs!$F$3=0,"",IF(Herd!H32="","",Herd!H32/Inputs!$F$3))</f>
        <v>2.5</v>
      </c>
      <c r="J32" s="218">
        <f t="shared" si="5"/>
        <v>1.7045454545454546</v>
      </c>
      <c r="AA32" s="308"/>
    </row>
    <row r="33" spans="1:27" s="307" customFormat="1">
      <c r="A33" s="282"/>
      <c r="B33" s="275" t="s">
        <v>10</v>
      </c>
      <c r="C33" s="66"/>
      <c r="D33" s="108"/>
      <c r="E33" s="120" t="str">
        <f t="shared" si="4"/>
        <v/>
      </c>
      <c r="F33" s="95"/>
      <c r="G33" s="121"/>
      <c r="H33" s="180">
        <f>IF(B33="",0,E33*VLOOKUP(B33,NonFeed,2,FALSE)*IF(VLOOKUP(B33,NonFeed,3,FALSE)="per animal",Inputs!$F$3,1))</f>
        <v>0</v>
      </c>
      <c r="I33" s="378">
        <f>IF(Inputs!$F$3=0,"",IF(Herd!H33="","",Herd!H33/Inputs!$F$3))</f>
        <v>0</v>
      </c>
      <c r="J33" s="218">
        <f t="shared" si="5"/>
        <v>0</v>
      </c>
      <c r="L33" s="308"/>
      <c r="T33" s="307" t="str">
        <f>IF(Inputs!B51="","",Inputs!B51)</f>
        <v>Supplies</v>
      </c>
      <c r="AA33" s="308"/>
    </row>
    <row r="34" spans="1:27" s="307" customFormat="1">
      <c r="A34" s="282"/>
      <c r="B34" s="275"/>
      <c r="C34" s="68" t="s">
        <v>10</v>
      </c>
      <c r="D34" s="95"/>
      <c r="E34" s="120" t="str">
        <f t="shared" si="4"/>
        <v/>
      </c>
      <c r="F34" s="95" t="s">
        <v>10</v>
      </c>
      <c r="G34" s="121"/>
      <c r="H34" s="180">
        <f>IF(B34="",0,E34*VLOOKUP(B34,NonFeed,2,FALSE)*IF(VLOOKUP(B34,NonFeed,3,FALSE)="per animal",Inputs!$F$3,1))</f>
        <v>0</v>
      </c>
      <c r="I34" s="378">
        <f>IF(Inputs!$F$3=0,"",IF(Herd!H34="","",Herd!H34/Inputs!$F$3))</f>
        <v>0</v>
      </c>
      <c r="J34" s="218">
        <f t="shared" si="5"/>
        <v>0</v>
      </c>
      <c r="L34" s="308"/>
      <c r="T34" s="307" t="str">
        <f>IF(Inputs!B52="","",Inputs!B52)</f>
        <v/>
      </c>
      <c r="AA34" s="308"/>
    </row>
    <row r="35" spans="1:27" s="307" customFormat="1">
      <c r="A35" s="282"/>
      <c r="B35" s="275" t="s">
        <v>10</v>
      </c>
      <c r="C35" s="68" t="s">
        <v>10</v>
      </c>
      <c r="D35" s="95"/>
      <c r="E35" s="120" t="str">
        <f t="shared" si="4"/>
        <v/>
      </c>
      <c r="F35" s="95" t="s">
        <v>10</v>
      </c>
      <c r="G35" s="121"/>
      <c r="H35" s="180">
        <f>IF(B35="",0,E35*VLOOKUP(B35,NonFeed,2,FALSE)*IF(VLOOKUP(B35,NonFeed,3,FALSE)="per animal",Inputs!$F$3,1))</f>
        <v>0</v>
      </c>
      <c r="I35" s="378">
        <f>IF(Inputs!$F$3=0,"",IF(Herd!H35="","",Herd!H35/Inputs!$F$3))</f>
        <v>0</v>
      </c>
      <c r="J35" s="218">
        <f t="shared" si="5"/>
        <v>0</v>
      </c>
      <c r="T35" s="307" t="str">
        <f>IF(Inputs!B53="","",Inputs!B53)</f>
        <v/>
      </c>
    </row>
    <row r="36" spans="1:27" s="307" customFormat="1">
      <c r="A36" s="282"/>
      <c r="B36" s="275"/>
      <c r="C36" s="68"/>
      <c r="D36" s="95"/>
      <c r="E36" s="120" t="str">
        <f t="shared" si="4"/>
        <v/>
      </c>
      <c r="F36" s="95"/>
      <c r="G36" s="121"/>
      <c r="H36" s="180">
        <f>IF(B36="",0,E36*VLOOKUP(B36,NonFeed,2,FALSE)*IF(VLOOKUP(B36,NonFeed,3,FALSE)="per animal",Inputs!$F$3,1))</f>
        <v>0</v>
      </c>
      <c r="I36" s="378">
        <f>IF(Inputs!$F$3=0,"",IF(Herd!H36="","",Herd!H36/Inputs!$F$3))</f>
        <v>0</v>
      </c>
      <c r="J36" s="218">
        <f t="shared" si="5"/>
        <v>0</v>
      </c>
      <c r="T36" s="307" t="str">
        <f>IF(Inputs!B54="","",Inputs!B54)</f>
        <v/>
      </c>
    </row>
    <row r="37" spans="1:27" s="307" customFormat="1" ht="13.5" thickBot="1">
      <c r="A37" s="282"/>
      <c r="B37" s="84" t="s">
        <v>43</v>
      </c>
      <c r="C37" s="66"/>
      <c r="D37" s="85"/>
      <c r="E37" s="120"/>
      <c r="F37" s="95"/>
      <c r="G37" s="318"/>
      <c r="H37" s="183">
        <f>((H24+SUM(H27:H29,H32:H36,H54:H57)+SUM($E43:$E49))/2+SUM(H30,H53))*Inputs!$D$73/2</f>
        <v>73.638249999999999</v>
      </c>
      <c r="I37" s="379">
        <f>IF(Inputs!$F$3=0,"",IF(Herd!H37="","",Herd!H37/Inputs!$F$3))</f>
        <v>2.4546083333333333</v>
      </c>
      <c r="J37" s="380">
        <f t="shared" si="5"/>
        <v>1.6735965909090909</v>
      </c>
      <c r="T37" s="307" t="str">
        <f>IF(Inputs!B55="","",Inputs!B55)</f>
        <v/>
      </c>
    </row>
    <row r="38" spans="1:27" s="307" customFormat="1" ht="14.25" thickTop="1" thickBot="1">
      <c r="A38" s="282"/>
      <c r="B38" s="88"/>
      <c r="C38" s="69"/>
      <c r="D38" s="89"/>
      <c r="E38" s="89"/>
      <c r="F38" s="134"/>
      <c r="G38" s="319" t="s">
        <v>57</v>
      </c>
      <c r="H38" s="157">
        <f>SUM(H27:H37)</f>
        <v>1286.13825</v>
      </c>
      <c r="I38" s="228">
        <f>SUM(I27:I37)</f>
        <v>42.871275000000004</v>
      </c>
      <c r="J38" s="99">
        <f>SUM(J27:J37)</f>
        <v>29.230414772727276</v>
      </c>
      <c r="T38" s="307" t="str">
        <f>IF(Inputs!B56="","",Inputs!B56)</f>
        <v/>
      </c>
    </row>
    <row r="39" spans="1:27" s="307" customFormat="1" ht="16.5" thickBot="1">
      <c r="A39" s="282"/>
      <c r="B39" s="106"/>
      <c r="C39" s="73"/>
      <c r="D39" s="73"/>
      <c r="E39" s="73"/>
      <c r="F39" s="73"/>
      <c r="G39" s="57" t="s">
        <v>44</v>
      </c>
      <c r="H39" s="181">
        <f>SUM(H11:H12)+H24+H38</f>
        <v>3198.19265</v>
      </c>
      <c r="I39" s="132">
        <f>SUM(I11:I12)+I24+I38</f>
        <v>106.60642166666668</v>
      </c>
      <c r="J39" s="171">
        <f>SUM(J11:J12)+J24+J38</f>
        <v>72.686196590909091</v>
      </c>
      <c r="T39" s="307" t="str">
        <f>IF(Inputs!B57="","",Inputs!B57)</f>
        <v/>
      </c>
    </row>
    <row r="40" spans="1:27" s="307" customFormat="1" ht="13.5" thickBot="1">
      <c r="A40" s="282"/>
      <c r="B40" s="102"/>
      <c r="C40" s="60"/>
      <c r="D40" s="85"/>
      <c r="E40" s="60"/>
      <c r="F40" s="61"/>
      <c r="G40" s="61"/>
      <c r="H40" s="184"/>
      <c r="I40" s="61"/>
      <c r="J40" s="62"/>
      <c r="T40" s="307" t="str">
        <f>IF(Inputs!B58="","",Inputs!B58)</f>
        <v/>
      </c>
    </row>
    <row r="41" spans="1:27" s="307" customFormat="1" ht="27" thickBot="1">
      <c r="A41" s="282"/>
      <c r="B41" s="106" t="s">
        <v>165</v>
      </c>
      <c r="C41" s="178"/>
      <c r="D41" s="179"/>
      <c r="E41" s="179"/>
      <c r="F41" s="179"/>
      <c r="G41" s="179"/>
      <c r="H41" s="175" t="s">
        <v>145</v>
      </c>
      <c r="I41" s="164" t="s">
        <v>146</v>
      </c>
      <c r="J41" s="227" t="s">
        <v>178</v>
      </c>
    </row>
    <row r="42" spans="1:27" s="307" customFormat="1">
      <c r="A42" s="282"/>
      <c r="B42" s="82" t="s">
        <v>46</v>
      </c>
      <c r="C42" s="135"/>
      <c r="D42" s="81"/>
      <c r="E42" s="83" t="s">
        <v>17</v>
      </c>
      <c r="F42" s="136"/>
      <c r="G42" s="83"/>
      <c r="H42" s="185" t="s">
        <v>37</v>
      </c>
      <c r="I42" s="71" t="s">
        <v>37</v>
      </c>
      <c r="J42" s="137" t="s">
        <v>37</v>
      </c>
    </row>
    <row r="43" spans="1:27" s="307" customFormat="1">
      <c r="A43" s="282"/>
      <c r="B43" s="84" t="s">
        <v>148</v>
      </c>
      <c r="C43" s="66"/>
      <c r="D43" s="85"/>
      <c r="E43" s="94">
        <f>IF($B43="","",(VLOOKUP($B43,Depreciable,5,FALSE))*IF(VLOOKUP(B43,Depreciable,6,FALSE)="",$H$7/($H$7+'Finish Kids'!$H$6),VLOOKUP(B43,Depreciable,6,FALSE)))</f>
        <v>150</v>
      </c>
      <c r="F43" s="94"/>
      <c r="G43" s="94"/>
      <c r="H43" s="180">
        <f t="shared" ref="H43:H49" si="6">SUM(E43:F43)</f>
        <v>150</v>
      </c>
      <c r="I43" s="378">
        <f>IF(Inputs!$F$3=0,0,H43/Inputs!$F$3)</f>
        <v>5</v>
      </c>
      <c r="J43" s="218">
        <f t="shared" ref="J43:J49" si="7">IF($C$4=0,0,H43/$C$4)</f>
        <v>3.4090909090909092</v>
      </c>
      <c r="L43" s="308"/>
      <c r="T43" s="307" t="str">
        <f>IF(Inputs!B66="","",Inputs!B66)</f>
        <v/>
      </c>
    </row>
    <row r="44" spans="1:27" s="307" customFormat="1">
      <c r="A44" s="282"/>
      <c r="B44" s="84" t="s">
        <v>156</v>
      </c>
      <c r="C44" s="66"/>
      <c r="D44" s="108"/>
      <c r="E44" s="94">
        <f>IF($B44="","",(VLOOKUP($B44,Depreciable,5,FALSE))*IF(VLOOKUP(B44,Depreciable,6,FALSE)="",$H$7/($H$7+'Finish Kids'!$H$6),VLOOKUP(B44,Depreciable,6,FALSE)))</f>
        <v>50</v>
      </c>
      <c r="F44" s="94"/>
      <c r="G44" s="94"/>
      <c r="H44" s="180">
        <f t="shared" si="6"/>
        <v>50</v>
      </c>
      <c r="I44" s="378">
        <f>IF(Inputs!$F$3=0,0,IF(Herd!H44=0,0,Herd!H44/Inputs!$F$3))</f>
        <v>1.6666666666666667</v>
      </c>
      <c r="J44" s="218">
        <f t="shared" si="7"/>
        <v>1.1363636363636365</v>
      </c>
      <c r="L44" s="308"/>
      <c r="T44" s="307" t="str">
        <f>IF(Inputs!B67="","",Inputs!B67)</f>
        <v/>
      </c>
    </row>
    <row r="45" spans="1:27" s="307" customFormat="1">
      <c r="A45" s="282"/>
      <c r="B45" s="275"/>
      <c r="C45" s="95" t="s">
        <v>10</v>
      </c>
      <c r="D45" s="95"/>
      <c r="E45" s="94" t="str">
        <f>IF($B45="","",(VLOOKUP($B45,Depreciable,5,FALSE))*IF(VLOOKUP(B45,Depreciable,6,FALSE)="",$H$7/($H$7+'Finish Kids'!$H$6),VLOOKUP(B45,Depreciable,6,FALSE)))</f>
        <v/>
      </c>
      <c r="F45" s="94"/>
      <c r="G45" s="94"/>
      <c r="H45" s="180">
        <f t="shared" si="6"/>
        <v>0</v>
      </c>
      <c r="I45" s="378">
        <f>IF(Inputs!$F$3=0,0,IF(Herd!H45=0,0,Herd!H45/Inputs!$F$3))</f>
        <v>0</v>
      </c>
      <c r="J45" s="218">
        <f t="shared" si="7"/>
        <v>0</v>
      </c>
      <c r="T45" s="307" t="str">
        <f>IF(Inputs!B68="","",Inputs!B68)</f>
        <v/>
      </c>
    </row>
    <row r="46" spans="1:27" s="307" customFormat="1">
      <c r="A46" s="282"/>
      <c r="B46" s="275"/>
      <c r="C46" s="95" t="s">
        <v>10</v>
      </c>
      <c r="D46" s="95"/>
      <c r="E46" s="94" t="str">
        <f>IF($B46="","",(VLOOKUP($B46,Depreciable,5,FALSE))*IF(VLOOKUP(B46,Depreciable,6,FALSE)="",$H$7/($H$7+'Finish Kids'!$H$6),VLOOKUP(B46,Depreciable,6,FALSE)))</f>
        <v/>
      </c>
      <c r="F46" s="94"/>
      <c r="G46" s="94"/>
      <c r="H46" s="180">
        <f t="shared" si="6"/>
        <v>0</v>
      </c>
      <c r="I46" s="378">
        <f>IF(Inputs!$F$3=0,0,IF(Herd!H46=0,0,Herd!H46/Inputs!$F$3))</f>
        <v>0</v>
      </c>
      <c r="J46" s="218">
        <f t="shared" si="7"/>
        <v>0</v>
      </c>
      <c r="T46" s="307" t="str">
        <f>IF(Inputs!B69="","",Inputs!B69)</f>
        <v/>
      </c>
    </row>
    <row r="47" spans="1:27" s="307" customFormat="1">
      <c r="A47" s="282"/>
      <c r="B47" s="275"/>
      <c r="C47" s="95" t="s">
        <v>10</v>
      </c>
      <c r="D47" s="95"/>
      <c r="E47" s="94" t="str">
        <f>IF($B47="","",(VLOOKUP($B47,Depreciable,5,FALSE))*IF(VLOOKUP(B47,Depreciable,6,FALSE)="",$H$7/($H$7+'Finish Kids'!$H$6),VLOOKUP(B47,Depreciable,6,FALSE)))</f>
        <v/>
      </c>
      <c r="F47" s="94"/>
      <c r="G47" s="94"/>
      <c r="H47" s="180">
        <f t="shared" si="6"/>
        <v>0</v>
      </c>
      <c r="I47" s="378">
        <f>IF(Inputs!$F$3=0,0,IF(Herd!H47=0,0,Herd!H47/Inputs!$F$3))</f>
        <v>0</v>
      </c>
      <c r="J47" s="218">
        <f t="shared" si="7"/>
        <v>0</v>
      </c>
      <c r="T47" s="307" t="str">
        <f>IF(Inputs!B70="","",Inputs!B70)</f>
        <v/>
      </c>
    </row>
    <row r="48" spans="1:27" s="307" customFormat="1">
      <c r="A48" s="282"/>
      <c r="B48" s="275"/>
      <c r="C48" s="95" t="s">
        <v>10</v>
      </c>
      <c r="D48" s="95"/>
      <c r="E48" s="94" t="str">
        <f>IF($B48="","",(VLOOKUP($B48,Depreciable,5,FALSE))*IF(VLOOKUP(B48,Depreciable,6,FALSE)="",$H$7/($H$7+'Finish Kids'!$H$6),VLOOKUP(B48,Depreciable,6,FALSE)))</f>
        <v/>
      </c>
      <c r="F48" s="94"/>
      <c r="G48" s="94"/>
      <c r="H48" s="180">
        <f t="shared" si="6"/>
        <v>0</v>
      </c>
      <c r="I48" s="378">
        <f>IF(Inputs!$F$3=0,0,IF(Herd!H48=0,0,Herd!H48/Inputs!$F$3))</f>
        <v>0</v>
      </c>
      <c r="J48" s="218">
        <f t="shared" si="7"/>
        <v>0</v>
      </c>
    </row>
    <row r="49" spans="1:28" s="307" customFormat="1" ht="13.5" thickBot="1">
      <c r="A49" s="282"/>
      <c r="B49" s="275"/>
      <c r="C49" s="95" t="s">
        <v>10</v>
      </c>
      <c r="D49" s="95"/>
      <c r="E49" s="94" t="str">
        <f>IF($B49="","",(VLOOKUP($B49,Depreciable,5,FALSE))*IF(VLOOKUP(B49,Depreciable,6,FALSE)="",$H$7/($H$7+'Finish Kids'!$H$6),VLOOKUP(B49,Depreciable,6,FALSE)))</f>
        <v/>
      </c>
      <c r="F49" s="94"/>
      <c r="G49" s="94"/>
      <c r="H49" s="183">
        <f t="shared" si="6"/>
        <v>0</v>
      </c>
      <c r="I49" s="379">
        <f>IF(Inputs!$F$3=0,0,IF(Herd!H49=0,0,Herd!H49/Inputs!$F$3))</f>
        <v>0</v>
      </c>
      <c r="J49" s="380">
        <f t="shared" si="7"/>
        <v>0</v>
      </c>
    </row>
    <row r="50" spans="1:28" s="307" customFormat="1" ht="13.5" thickTop="1">
      <c r="A50" s="282"/>
      <c r="B50" s="84"/>
      <c r="C50" s="68"/>
      <c r="D50" s="95"/>
      <c r="E50" s="95"/>
      <c r="F50" s="94"/>
      <c r="G50" s="65" t="s">
        <v>172</v>
      </c>
      <c r="H50" s="325">
        <f>SUM(H43:H49)</f>
        <v>200</v>
      </c>
      <c r="I50" s="324">
        <f>SUM(I43:I49)</f>
        <v>6.666666666666667</v>
      </c>
      <c r="J50" s="138">
        <f>SUM(J43:J49)</f>
        <v>4.5454545454545459</v>
      </c>
    </row>
    <row r="51" spans="1:28" s="307" customFormat="1">
      <c r="A51" s="282"/>
      <c r="B51" s="84"/>
      <c r="C51" s="66"/>
      <c r="D51" s="85"/>
      <c r="E51" s="85"/>
      <c r="F51" s="97"/>
      <c r="G51" s="97"/>
      <c r="H51" s="322"/>
      <c r="I51" s="326"/>
      <c r="J51" s="201"/>
    </row>
    <row r="52" spans="1:28" s="307" customFormat="1">
      <c r="A52" s="282"/>
      <c r="B52" s="118" t="s">
        <v>65</v>
      </c>
      <c r="C52" s="66"/>
      <c r="D52" s="85"/>
      <c r="E52" s="129" t="s">
        <v>56</v>
      </c>
      <c r="F52" s="85"/>
      <c r="G52" s="85"/>
      <c r="H52" s="320" t="s">
        <v>37</v>
      </c>
      <c r="I52" s="321" t="s">
        <v>37</v>
      </c>
      <c r="J52" s="141" t="s">
        <v>37</v>
      </c>
    </row>
    <row r="53" spans="1:28" s="307" customFormat="1">
      <c r="A53" s="282"/>
      <c r="B53" s="84" t="str">
        <f>Inputs!B78</f>
        <v>Real Estate Tax</v>
      </c>
      <c r="C53" s="66"/>
      <c r="D53" s="85"/>
      <c r="E53" s="217">
        <f t="shared" ref="E53:E57" si="8">VLOOKUP(B53,Overhead,5,FALSE)*VLOOKUP(B53,Overhead,6,FALSE)</f>
        <v>0.44999999999999996</v>
      </c>
      <c r="F53" s="85"/>
      <c r="G53" s="85"/>
      <c r="H53" s="180">
        <f>E53*Inputs!D78</f>
        <v>135</v>
      </c>
      <c r="I53" s="378">
        <f>IF(Inputs!$F$3=0,0,IF(H53=0,0,H53/Inputs!$F$3))</f>
        <v>4.5</v>
      </c>
      <c r="J53" s="218">
        <f t="shared" ref="J53:J57" si="9">IF($C$4=0,0,H53/$C$4)</f>
        <v>3.0681818181818183</v>
      </c>
    </row>
    <row r="54" spans="1:28" s="307" customFormat="1">
      <c r="A54" s="282"/>
      <c r="B54" s="84" t="str">
        <f>Inputs!B79</f>
        <v>Annual Insurance Premium</v>
      </c>
      <c r="C54" s="66"/>
      <c r="D54" s="85"/>
      <c r="E54" s="217">
        <f t="shared" si="8"/>
        <v>0.48</v>
      </c>
      <c r="F54" s="85"/>
      <c r="G54" s="85"/>
      <c r="H54" s="180">
        <f>E54*Inputs!D79</f>
        <v>240</v>
      </c>
      <c r="I54" s="378">
        <f>IF(Inputs!$F$3=0,0,IF(H54="",0,H54/((Inputs!$F$3-Inputs!$F$4)*2)))</f>
        <v>4.8</v>
      </c>
      <c r="J54" s="218">
        <f t="shared" si="9"/>
        <v>5.4545454545454541</v>
      </c>
    </row>
    <row r="55" spans="1:28" s="307" customFormat="1">
      <c r="A55" s="282"/>
      <c r="B55" s="84" t="str">
        <f>Inputs!B80</f>
        <v>Professional Fees</v>
      </c>
      <c r="C55" s="66"/>
      <c r="D55" s="85"/>
      <c r="E55" s="217">
        <f t="shared" si="8"/>
        <v>0.3</v>
      </c>
      <c r="F55" s="85"/>
      <c r="G55" s="85"/>
      <c r="H55" s="180">
        <f>E55*Inputs!D80</f>
        <v>120</v>
      </c>
      <c r="I55" s="378">
        <f>IF(Inputs!$F$3=0,0,IF(H55="",0,H55/((Inputs!$F$3-Inputs!$F$4)*2)))</f>
        <v>2.4</v>
      </c>
      <c r="J55" s="218">
        <f t="shared" si="9"/>
        <v>2.7272727272727271</v>
      </c>
    </row>
    <row r="56" spans="1:28" s="307" customFormat="1">
      <c r="A56" s="282"/>
      <c r="B56" s="84" t="str">
        <f>Inputs!B81</f>
        <v>Annual Management Charge</v>
      </c>
      <c r="C56" s="66"/>
      <c r="D56" s="85"/>
      <c r="E56" s="217">
        <f t="shared" si="8"/>
        <v>0.3</v>
      </c>
      <c r="F56" s="85"/>
      <c r="G56" s="85"/>
      <c r="H56" s="180">
        <f>E56*Inputs!D81</f>
        <v>60</v>
      </c>
      <c r="I56" s="378">
        <f>IF(Inputs!$F$3=0,0,IF(H56="",0,H56/((Inputs!$F$3-Inputs!$F$4)*2)))</f>
        <v>1.2</v>
      </c>
      <c r="J56" s="218">
        <f t="shared" si="9"/>
        <v>1.3636363636363635</v>
      </c>
    </row>
    <row r="57" spans="1:28" s="307" customFormat="1" ht="13.5" thickBot="1">
      <c r="A57" s="282"/>
      <c r="B57" s="84" t="str">
        <f>Inputs!B82</f>
        <v>Other</v>
      </c>
      <c r="C57" s="66"/>
      <c r="D57" s="85"/>
      <c r="E57" s="217">
        <f t="shared" si="8"/>
        <v>0.15</v>
      </c>
      <c r="F57" s="85"/>
      <c r="G57" s="85"/>
      <c r="H57" s="183">
        <f>E57*Inputs!D82</f>
        <v>15</v>
      </c>
      <c r="I57" s="378">
        <f>IF(Inputs!$F$3=0,0,IF(H57="",0,H57/((Inputs!$F$3-Inputs!$F$4)*2)))</f>
        <v>0.3</v>
      </c>
      <c r="J57" s="380">
        <f t="shared" si="9"/>
        <v>0.34090909090909088</v>
      </c>
    </row>
    <row r="58" spans="1:28" s="307" customFormat="1" ht="14.25" thickTop="1" thickBot="1">
      <c r="A58" s="282"/>
      <c r="B58" s="105"/>
      <c r="C58" s="69"/>
      <c r="D58" s="89"/>
      <c r="E58" s="89"/>
      <c r="F58" s="89"/>
      <c r="G58" s="98" t="s">
        <v>173</v>
      </c>
      <c r="H58" s="327">
        <f>SUM(H53:H57)</f>
        <v>570</v>
      </c>
      <c r="I58" s="328">
        <f>SUM(I53:I57)</f>
        <v>13.200000000000001</v>
      </c>
      <c r="J58" s="329">
        <f>SUM(J53:J57)</f>
        <v>12.954545454545455</v>
      </c>
    </row>
    <row r="59" spans="1:28" s="307" customFormat="1" ht="16.5" thickBot="1">
      <c r="A59" s="282"/>
      <c r="B59" s="106"/>
      <c r="C59" s="107"/>
      <c r="D59" s="107"/>
      <c r="E59" s="107"/>
      <c r="F59" s="107"/>
      <c r="G59" s="57" t="s">
        <v>166</v>
      </c>
      <c r="H59" s="181">
        <f>H50+H58</f>
        <v>770</v>
      </c>
      <c r="I59" s="132">
        <f>I50+I58</f>
        <v>19.866666666666667</v>
      </c>
      <c r="J59" s="171">
        <f>J50+J58</f>
        <v>17.5</v>
      </c>
    </row>
    <row r="60" spans="1:28" s="307" customFormat="1" ht="16.5" thickBot="1">
      <c r="A60" s="282"/>
      <c r="B60" s="106"/>
      <c r="C60" s="107"/>
      <c r="D60" s="107"/>
      <c r="E60" s="107"/>
      <c r="F60" s="107"/>
      <c r="G60" s="57" t="s">
        <v>167</v>
      </c>
      <c r="H60" s="181">
        <f>H39+H59</f>
        <v>3968.19265</v>
      </c>
      <c r="I60" s="132">
        <f>I39+I59</f>
        <v>126.47308833333335</v>
      </c>
      <c r="J60" s="171">
        <f>J39+J59</f>
        <v>90.186196590909091</v>
      </c>
    </row>
    <row r="61" spans="1:28" s="307" customFormat="1" ht="16.5" thickBot="1">
      <c r="A61" s="282"/>
      <c r="B61" s="106"/>
      <c r="C61" s="107"/>
      <c r="D61" s="107"/>
      <c r="E61" s="107"/>
      <c r="F61" s="107"/>
      <c r="G61" s="57" t="s">
        <v>168</v>
      </c>
      <c r="H61" s="181">
        <f>H7-H60</f>
        <v>-772.19264999999996</v>
      </c>
      <c r="I61" s="362">
        <f>I7-I60</f>
        <v>-19.939755000000019</v>
      </c>
      <c r="J61" s="363">
        <f>J7-J60</f>
        <v>-17.549832954545451</v>
      </c>
    </row>
    <row r="62" spans="1:28" ht="13.5" thickBot="1">
      <c r="B62" s="371" t="s">
        <v>10</v>
      </c>
      <c r="C62" s="371"/>
      <c r="D62" s="371"/>
      <c r="E62" s="371"/>
      <c r="F62" s="371"/>
      <c r="G62" s="371"/>
      <c r="H62" s="371"/>
      <c r="I62" s="371"/>
      <c r="J62" s="371"/>
      <c r="K62" s="302"/>
      <c r="L62" s="302"/>
      <c r="M62" s="302"/>
      <c r="N62" s="302"/>
      <c r="O62" s="302"/>
      <c r="P62" s="302"/>
      <c r="Q62" s="302"/>
      <c r="R62" s="302"/>
      <c r="S62" s="302"/>
      <c r="U62" s="302"/>
      <c r="V62" s="302"/>
      <c r="W62" s="302"/>
      <c r="X62" s="302"/>
      <c r="Y62" s="302"/>
      <c r="Z62" s="302"/>
      <c r="AA62" s="302"/>
      <c r="AB62" s="302"/>
    </row>
    <row r="63" spans="1:28" ht="27" thickBot="1">
      <c r="B63" s="106" t="s">
        <v>170</v>
      </c>
      <c r="C63" s="178"/>
      <c r="D63" s="179"/>
      <c r="E63" s="179"/>
      <c r="F63" s="179"/>
      <c r="G63" s="179"/>
      <c r="H63" s="175" t="s">
        <v>145</v>
      </c>
      <c r="I63" s="164" t="s">
        <v>146</v>
      </c>
      <c r="J63" s="227" t="s">
        <v>178</v>
      </c>
      <c r="K63" s="302"/>
      <c r="L63" s="302"/>
      <c r="M63" s="302"/>
      <c r="N63" s="302"/>
      <c r="O63" s="302"/>
      <c r="P63" s="302"/>
      <c r="Q63" s="302"/>
      <c r="R63" s="302"/>
      <c r="S63" s="302"/>
      <c r="U63" s="302"/>
      <c r="V63" s="302"/>
      <c r="W63" s="302"/>
      <c r="X63" s="302"/>
      <c r="Y63" s="302"/>
      <c r="Z63" s="302"/>
      <c r="AA63" s="302"/>
      <c r="AB63" s="302"/>
    </row>
    <row r="64" spans="1:28" ht="25.5">
      <c r="B64" s="82"/>
      <c r="C64" s="135"/>
      <c r="D64" s="81"/>
      <c r="E64" s="83" t="s">
        <v>54</v>
      </c>
      <c r="F64" s="170" t="s">
        <v>59</v>
      </c>
      <c r="G64" s="83"/>
      <c r="H64" s="185" t="s">
        <v>37</v>
      </c>
      <c r="I64" s="71" t="s">
        <v>37</v>
      </c>
      <c r="J64" s="137" t="s">
        <v>37</v>
      </c>
      <c r="K64" s="302"/>
      <c r="L64" s="302"/>
      <c r="M64" s="302"/>
      <c r="N64" s="302"/>
      <c r="O64" s="302"/>
      <c r="P64" s="302"/>
      <c r="Q64" s="302"/>
      <c r="R64" s="302"/>
      <c r="S64" s="302"/>
      <c r="U64" s="302"/>
      <c r="V64" s="302"/>
      <c r="W64" s="302"/>
      <c r="X64" s="302"/>
      <c r="Y64" s="302"/>
      <c r="Z64" s="302"/>
      <c r="AA64" s="302"/>
      <c r="AB64" s="302"/>
    </row>
    <row r="65" spans="2:28">
      <c r="B65" s="63" t="s">
        <v>169</v>
      </c>
      <c r="C65" s="66"/>
      <c r="D65" s="85"/>
      <c r="E65" s="97"/>
      <c r="F65" s="94">
        <f>Inputs!D77*Inputs!G77*Inputs!D74*Inputs!F77</f>
        <v>202.5</v>
      </c>
      <c r="G65" s="97"/>
      <c r="H65" s="180">
        <f>SUM(E65:G65)</f>
        <v>202.5</v>
      </c>
      <c r="I65" s="378">
        <f>IF(Inputs!$F$3=0,"",IF(Herd!H65=0,"",Herd!H65/Inputs!$F$3))</f>
        <v>6.75</v>
      </c>
      <c r="J65" s="218">
        <f t="shared" ref="J65:J72" si="10">IF($C$4=0,0,H65/$C$4)</f>
        <v>4.6022727272727275</v>
      </c>
      <c r="K65" s="302"/>
      <c r="L65" s="302"/>
      <c r="M65" s="302"/>
      <c r="N65" s="302"/>
      <c r="O65" s="302"/>
      <c r="P65" s="302"/>
      <c r="Q65" s="302"/>
      <c r="R65" s="302"/>
      <c r="S65" s="302"/>
      <c r="U65" s="302"/>
      <c r="V65" s="302"/>
      <c r="W65" s="302"/>
      <c r="X65" s="302"/>
      <c r="Y65" s="302"/>
      <c r="Z65" s="302"/>
      <c r="AA65" s="302"/>
      <c r="AB65" s="302"/>
    </row>
    <row r="66" spans="2:28">
      <c r="B66" s="84" t="s">
        <v>148</v>
      </c>
      <c r="C66" s="66"/>
      <c r="D66" s="85"/>
      <c r="E66" s="94">
        <f>IF($H$7=0,0,IF($B66="","",IF(VLOOKUP($B66,Depreciable,4,FALSE)=0,"",(VLOOKUP($B66,Depreciable,2,FALSE)-VLOOKUP($B66,Depreciable,3,FALSE))/VLOOKUP($B66,Depreciable,4,FALSE)*IF(VLOOKUP(B66,Depreciable,6,FALSE)="",$H$7/($H$7+'Finish Kids'!$H$6),VLOOKUP(B66,Depreciable,6,FALSE)))))</f>
        <v>200</v>
      </c>
      <c r="F66" s="94">
        <f>IF($B66="","",(VLOOKUP($B66,Depreciable,2,FALSE)*Inputs!$D$74)*IF(VLOOKUP(B66,Depreciable,6,FALSE)="",$H$7/($H$7+'Finish Kids'!$H$6),VLOOKUP(B66,Depreciable,6,FALSE)))</f>
        <v>150</v>
      </c>
      <c r="G66" s="94"/>
      <c r="H66" s="180">
        <f>SUM(E66:G66)</f>
        <v>350</v>
      </c>
      <c r="I66" s="378">
        <f>IF(Inputs!$F$3=0,"",IF(Herd!H66=0,"",Herd!H66/Inputs!$F$3))</f>
        <v>11.666666666666666</v>
      </c>
      <c r="J66" s="218">
        <f t="shared" si="10"/>
        <v>7.9545454545454541</v>
      </c>
      <c r="K66" s="302"/>
      <c r="L66" s="302"/>
      <c r="M66" s="302"/>
      <c r="N66" s="302"/>
      <c r="O66" s="302"/>
      <c r="P66" s="302"/>
      <c r="Q66" s="302"/>
      <c r="R66" s="302"/>
      <c r="S66" s="302"/>
      <c r="U66" s="302"/>
      <c r="V66" s="302"/>
      <c r="W66" s="302"/>
      <c r="X66" s="302"/>
      <c r="Y66" s="302"/>
      <c r="Z66" s="302"/>
      <c r="AA66" s="302"/>
      <c r="AB66" s="302"/>
    </row>
    <row r="67" spans="2:28">
      <c r="B67" s="84" t="s">
        <v>156</v>
      </c>
      <c r="C67" s="66"/>
      <c r="D67" s="108"/>
      <c r="E67" s="94">
        <f>IF($H$7=0,0,IF($B67="","",IF(VLOOKUP($B67,Depreciable,4,FALSE)=0,"",(VLOOKUP($B67,Depreciable,2,FALSE)-VLOOKUP($B67,Depreciable,3,FALSE))/VLOOKUP($B67,Depreciable,4,FALSE)*IF(VLOOKUP(B67,Depreciable,6,FALSE)="",$H$7/($H$7+'Finish Kids'!$H$6),VLOOKUP(B67,Depreciable,6,FALSE)))))</f>
        <v>20</v>
      </c>
      <c r="F67" s="94">
        <f>IF($B67="","",(VLOOKUP($B67,Depreciable,2,FALSE)*Inputs!$D$74)*IF(VLOOKUP(B67,Depreciable,6,FALSE)="",$H$7/($H$7+'Finish Kids'!$H$6),VLOOKUP(B67,Depreciable,6,FALSE)))</f>
        <v>12</v>
      </c>
      <c r="G67" s="94"/>
      <c r="H67" s="180">
        <f t="shared" ref="H67:H72" si="11">SUM(E67:G67)</f>
        <v>32</v>
      </c>
      <c r="I67" s="378">
        <f>IF(Inputs!$F$3=0,"",IF(Herd!H67=0,"",Herd!H67/Inputs!$F$3))</f>
        <v>1.0666666666666667</v>
      </c>
      <c r="J67" s="218">
        <f t="shared" si="10"/>
        <v>0.72727272727272729</v>
      </c>
      <c r="K67" s="302"/>
      <c r="L67" s="302"/>
      <c r="M67" s="302"/>
      <c r="N67" s="302"/>
      <c r="O67" s="302"/>
      <c r="P67" s="302"/>
      <c r="Q67" s="302"/>
      <c r="R67" s="302"/>
      <c r="S67" s="302"/>
      <c r="U67" s="302"/>
      <c r="V67" s="302"/>
      <c r="W67" s="302"/>
      <c r="X67" s="302"/>
      <c r="Y67" s="302"/>
      <c r="Z67" s="302"/>
      <c r="AA67" s="302"/>
      <c r="AB67" s="302"/>
    </row>
    <row r="68" spans="2:28">
      <c r="B68" s="275"/>
      <c r="C68" s="95" t="s">
        <v>10</v>
      </c>
      <c r="D68" s="95"/>
      <c r="E68" s="94" t="str">
        <f>IF($H$7=0,0,IF($B68="","",IF(VLOOKUP($B68,Depreciable,4,FALSE)=0,"",(VLOOKUP($B68,Depreciable,2,FALSE)-VLOOKUP($B68,Depreciable,3,FALSE))/VLOOKUP($B68,Depreciable,4,FALSE)*IF(VLOOKUP(B68,Depreciable,6,FALSE)="",$H$7/($H$7+'Finish Kids'!$H$6),VLOOKUP(B68,Depreciable,6,FALSE)))))</f>
        <v/>
      </c>
      <c r="F68" s="94" t="str">
        <f>IF($B68="","",(VLOOKUP($B68,Depreciable,2,FALSE)*Inputs!$D$74)*IF(VLOOKUP(B68,Depreciable,6,FALSE)="",$H$7/($H$7+'Finish Kids'!$H$6),VLOOKUP(B68,Depreciable,6,FALSE)))</f>
        <v/>
      </c>
      <c r="G68" s="94"/>
      <c r="H68" s="180">
        <f t="shared" si="11"/>
        <v>0</v>
      </c>
      <c r="I68" s="378" t="str">
        <f>IF(Inputs!$F$3=0,"",IF(Herd!H68=0,"",Herd!H68/Inputs!$F$3))</f>
        <v/>
      </c>
      <c r="J68" s="218">
        <f t="shared" si="10"/>
        <v>0</v>
      </c>
      <c r="K68" s="302"/>
      <c r="L68" s="302"/>
      <c r="M68" s="302"/>
      <c r="N68" s="302"/>
      <c r="O68" s="302"/>
      <c r="P68" s="302"/>
      <c r="Q68" s="302"/>
      <c r="R68" s="302"/>
      <c r="S68" s="302"/>
      <c r="U68" s="302"/>
      <c r="V68" s="302"/>
      <c r="W68" s="302"/>
      <c r="X68" s="302"/>
      <c r="Y68" s="302"/>
      <c r="Z68" s="302"/>
      <c r="AA68" s="302"/>
      <c r="AB68" s="302"/>
    </row>
    <row r="69" spans="2:28">
      <c r="B69" s="275"/>
      <c r="C69" s="95" t="s">
        <v>10</v>
      </c>
      <c r="D69" s="95"/>
      <c r="E69" s="94" t="str">
        <f>IF($H$7=0,0,IF($B69="","",IF(VLOOKUP($B69,Depreciable,4,FALSE)=0,"",(VLOOKUP($B69,Depreciable,2,FALSE)-VLOOKUP($B69,Depreciable,3,FALSE))/VLOOKUP($B69,Depreciable,4,FALSE)*IF(VLOOKUP(B69,Depreciable,6,FALSE)="",$H$7/($H$7+'Finish Kids'!$H$6),VLOOKUP(B69,Depreciable,6,FALSE)))))</f>
        <v/>
      </c>
      <c r="F69" s="94" t="str">
        <f>IF($B69="","",(VLOOKUP($B69,Depreciable,2,FALSE)*Inputs!$D$74)*IF(VLOOKUP(B69,Depreciable,6,FALSE)="",$H$7/($H$7+'Finish Kids'!$H$6),VLOOKUP(B69,Depreciable,6,FALSE)))</f>
        <v/>
      </c>
      <c r="G69" s="94"/>
      <c r="H69" s="180">
        <f t="shared" si="11"/>
        <v>0</v>
      </c>
      <c r="I69" s="378" t="str">
        <f>IF(Inputs!$F$3=0,"",IF(Herd!H69=0,"",Herd!H69/Inputs!$F$3))</f>
        <v/>
      </c>
      <c r="J69" s="218">
        <f t="shared" si="10"/>
        <v>0</v>
      </c>
      <c r="K69" s="302"/>
      <c r="L69" s="302"/>
      <c r="M69" s="302"/>
      <c r="N69" s="302"/>
      <c r="O69" s="302"/>
      <c r="P69" s="302"/>
      <c r="Q69" s="302"/>
      <c r="R69" s="302"/>
      <c r="S69" s="302"/>
      <c r="U69" s="302"/>
      <c r="V69" s="302"/>
      <c r="W69" s="302"/>
      <c r="X69" s="302"/>
      <c r="Y69" s="302"/>
      <c r="Z69" s="302"/>
      <c r="AA69" s="302"/>
      <c r="AB69" s="302"/>
    </row>
    <row r="70" spans="2:28">
      <c r="B70" s="275"/>
      <c r="C70" s="95" t="s">
        <v>10</v>
      </c>
      <c r="D70" s="95"/>
      <c r="E70" s="94" t="str">
        <f>IF($H$7=0,0,IF($B70="","",IF(VLOOKUP($B70,Depreciable,4,FALSE)=0,"",(VLOOKUP($B70,Depreciable,2,FALSE)-VLOOKUP($B70,Depreciable,3,FALSE))/VLOOKUP($B70,Depreciable,4,FALSE)*IF(VLOOKUP(B70,Depreciable,6,FALSE)="",$H$7/($H$7+'Finish Kids'!$H$6),VLOOKUP(B70,Depreciable,6,FALSE)))))</f>
        <v/>
      </c>
      <c r="F70" s="94" t="str">
        <f>IF($B70="","",(VLOOKUP($B70,Depreciable,2,FALSE)*Inputs!$D$74)*IF(VLOOKUP(B70,Depreciable,6,FALSE)="",$H$7/($H$7+'Finish Kids'!$H$6),VLOOKUP(B70,Depreciable,6,FALSE)))</f>
        <v/>
      </c>
      <c r="G70" s="94"/>
      <c r="H70" s="180">
        <f t="shared" si="11"/>
        <v>0</v>
      </c>
      <c r="I70" s="378" t="str">
        <f>IF(Inputs!$F$3=0,"",IF(Herd!H70=0,"",Herd!H70/Inputs!$F$3))</f>
        <v/>
      </c>
      <c r="J70" s="218">
        <f t="shared" si="10"/>
        <v>0</v>
      </c>
      <c r="K70" s="302"/>
      <c r="L70" s="302"/>
      <c r="M70" s="302"/>
      <c r="N70" s="302"/>
      <c r="O70" s="302"/>
      <c r="P70" s="302"/>
      <c r="Q70" s="302"/>
      <c r="R70" s="302"/>
      <c r="S70" s="302"/>
      <c r="U70" s="302"/>
      <c r="V70" s="302"/>
      <c r="W70" s="302"/>
      <c r="X70" s="302"/>
      <c r="Y70" s="302"/>
      <c r="Z70" s="302"/>
      <c r="AA70" s="302"/>
      <c r="AB70" s="302"/>
    </row>
    <row r="71" spans="2:28">
      <c r="B71" s="275"/>
      <c r="C71" s="95" t="s">
        <v>10</v>
      </c>
      <c r="D71" s="95"/>
      <c r="E71" s="94" t="str">
        <f>IF($H$7=0,0,IF($B71="","",IF(VLOOKUP($B71,Depreciable,4,FALSE)=0,"",(VLOOKUP($B71,Depreciable,2,FALSE)-VLOOKUP($B71,Depreciable,3,FALSE))/VLOOKUP($B71,Depreciable,4,FALSE)*IF(VLOOKUP(B71,Depreciable,6,FALSE)="",$H$7/($H$7+'Finish Kids'!$H$6),VLOOKUP(B71,Depreciable,6,FALSE)))))</f>
        <v/>
      </c>
      <c r="F71" s="94" t="str">
        <f>IF($B71="","",(VLOOKUP($B71,Depreciable,2,FALSE)*Inputs!$D$74)*IF(VLOOKUP(B71,Depreciable,6,FALSE)="",$H$7/($H$7+'Finish Kids'!$H$6),VLOOKUP(B71,Depreciable,6,FALSE)))</f>
        <v/>
      </c>
      <c r="G71" s="94"/>
      <c r="H71" s="180">
        <f t="shared" si="11"/>
        <v>0</v>
      </c>
      <c r="I71" s="378" t="str">
        <f>IF(Inputs!$F$3=0,"",IF(Herd!H71=0,"",Herd!H71/Inputs!$F$3))</f>
        <v/>
      </c>
      <c r="J71" s="218">
        <f t="shared" si="10"/>
        <v>0</v>
      </c>
      <c r="K71" s="302"/>
      <c r="L71" s="302"/>
      <c r="M71" s="302"/>
      <c r="N71" s="302"/>
      <c r="O71" s="302"/>
      <c r="P71" s="302"/>
      <c r="Q71" s="302"/>
      <c r="R71" s="302"/>
      <c r="S71" s="302"/>
      <c r="U71" s="302"/>
      <c r="V71" s="302"/>
      <c r="W71" s="302"/>
      <c r="X71" s="302"/>
      <c r="Y71" s="302"/>
      <c r="Z71" s="302"/>
      <c r="AA71" s="302"/>
      <c r="AB71" s="302"/>
    </row>
    <row r="72" spans="2:28" ht="13.5" thickBot="1">
      <c r="B72" s="275"/>
      <c r="C72" s="95" t="s">
        <v>10</v>
      </c>
      <c r="D72" s="95"/>
      <c r="E72" s="94" t="str">
        <f>IF($H$7=0,0,IF($B72="","",IF(VLOOKUP($B72,Depreciable,4,FALSE)=0,"",(VLOOKUP($B72,Depreciable,2,FALSE)-VLOOKUP($B72,Depreciable,3,FALSE))/VLOOKUP($B72,Depreciable,4,FALSE)*IF(VLOOKUP(B72,Depreciable,6,FALSE)="",$H$7/($H$7+'Finish Kids'!$H$6),VLOOKUP(B72,Depreciable,6,FALSE)))))</f>
        <v/>
      </c>
      <c r="F72" s="94" t="str">
        <f>IF($B72="","",(VLOOKUP($B72,Depreciable,2,FALSE)*Inputs!$D$74)*IF(VLOOKUP(B72,Depreciable,6,FALSE)="",$H$7/($H$7+'Finish Kids'!$H$6),VLOOKUP(B72,Depreciable,6,FALSE)))</f>
        <v/>
      </c>
      <c r="G72" s="94"/>
      <c r="H72" s="183">
        <f t="shared" si="11"/>
        <v>0</v>
      </c>
      <c r="I72" s="378" t="str">
        <f>IF(Inputs!$F$3=0,"",IF(Herd!H72=0,"",Herd!H72/Inputs!$F$3))</f>
        <v/>
      </c>
      <c r="J72" s="218">
        <f t="shared" si="10"/>
        <v>0</v>
      </c>
      <c r="K72" s="302"/>
      <c r="L72" s="302"/>
      <c r="M72" s="302"/>
      <c r="N72" s="302"/>
      <c r="O72" s="302"/>
      <c r="P72" s="302"/>
      <c r="Q72" s="302"/>
      <c r="R72" s="302"/>
      <c r="S72" s="302"/>
      <c r="U72" s="302"/>
      <c r="V72" s="302"/>
      <c r="W72" s="302"/>
      <c r="X72" s="302"/>
      <c r="Y72" s="302"/>
      <c r="Z72" s="302"/>
      <c r="AA72" s="302"/>
      <c r="AB72" s="302"/>
    </row>
    <row r="73" spans="2:28" ht="17.25" thickTop="1" thickBot="1">
      <c r="B73" s="106"/>
      <c r="C73" s="107"/>
      <c r="D73" s="107"/>
      <c r="E73" s="107"/>
      <c r="F73" s="107"/>
      <c r="G73" s="57" t="s">
        <v>171</v>
      </c>
      <c r="H73" s="181">
        <f>SUM(H65:H72)</f>
        <v>584.5</v>
      </c>
      <c r="I73" s="132">
        <f>SUM(I65:I72)</f>
        <v>19.483333333333331</v>
      </c>
      <c r="J73" s="171">
        <f>SUM(J65:J72)</f>
        <v>13.284090909090908</v>
      </c>
      <c r="K73" s="302"/>
      <c r="L73" s="302"/>
      <c r="M73" s="302"/>
      <c r="N73" s="302"/>
      <c r="O73" s="302"/>
      <c r="P73" s="302"/>
      <c r="Q73" s="302"/>
      <c r="R73" s="302"/>
      <c r="S73" s="302"/>
      <c r="U73" s="302"/>
      <c r="V73" s="302"/>
      <c r="W73" s="302"/>
      <c r="X73" s="302"/>
      <c r="Y73" s="302"/>
      <c r="Z73" s="302"/>
      <c r="AA73" s="302"/>
      <c r="AB73" s="302"/>
    </row>
    <row r="74" spans="2:28" ht="16.5" thickBot="1">
      <c r="B74" s="106"/>
      <c r="C74" s="107"/>
      <c r="D74" s="107"/>
      <c r="E74" s="107"/>
      <c r="F74" s="107"/>
      <c r="G74" s="57" t="s">
        <v>97</v>
      </c>
      <c r="H74" s="181">
        <f>H60+H73</f>
        <v>4552.69265</v>
      </c>
      <c r="I74" s="132">
        <f>I60+I73</f>
        <v>145.95642166666667</v>
      </c>
      <c r="J74" s="171">
        <f>J60+J73</f>
        <v>103.4702875</v>
      </c>
      <c r="K74" s="302"/>
      <c r="L74" s="302"/>
      <c r="M74" s="302"/>
      <c r="N74" s="302"/>
      <c r="O74" s="302"/>
      <c r="P74" s="302"/>
      <c r="Q74" s="302"/>
      <c r="R74" s="302"/>
      <c r="S74" s="302"/>
      <c r="U74" s="302"/>
      <c r="V74" s="302"/>
      <c r="W74" s="302"/>
      <c r="X74" s="302"/>
      <c r="Y74" s="302"/>
      <c r="Z74" s="302"/>
      <c r="AA74" s="302"/>
      <c r="AB74" s="302"/>
    </row>
    <row r="75" spans="2:28" ht="16.5" thickBot="1">
      <c r="B75" s="106"/>
      <c r="C75" s="107"/>
      <c r="D75" s="107"/>
      <c r="E75" s="107"/>
      <c r="F75" s="107"/>
      <c r="G75" s="57" t="s">
        <v>51</v>
      </c>
      <c r="H75" s="181">
        <f>H7-H74</f>
        <v>-1356.69265</v>
      </c>
      <c r="I75" s="362">
        <f>I7-I74</f>
        <v>-39.42308833333334</v>
      </c>
      <c r="J75" s="363">
        <f>J7-J74</f>
        <v>-30.833923863636358</v>
      </c>
      <c r="K75" s="302"/>
      <c r="L75" s="302"/>
      <c r="M75" s="302"/>
      <c r="N75" s="302"/>
      <c r="O75" s="302"/>
      <c r="P75" s="302"/>
      <c r="Q75" s="302"/>
      <c r="R75" s="302"/>
      <c r="S75" s="302"/>
      <c r="U75" s="302"/>
      <c r="V75" s="302"/>
      <c r="W75" s="302"/>
      <c r="X75" s="302"/>
      <c r="Y75" s="302"/>
      <c r="Z75" s="302"/>
      <c r="AA75" s="302"/>
      <c r="AB75" s="302"/>
    </row>
    <row r="76" spans="2:28">
      <c r="B76" s="302"/>
      <c r="C76" s="302"/>
      <c r="D76" s="302"/>
      <c r="E76" s="302"/>
      <c r="F76" s="302"/>
      <c r="G76" s="302"/>
      <c r="H76" s="302"/>
      <c r="I76" s="302"/>
      <c r="J76" s="302"/>
      <c r="K76" s="302"/>
      <c r="L76" s="302"/>
      <c r="M76" s="302"/>
      <c r="N76" s="302"/>
      <c r="O76" s="302"/>
      <c r="P76" s="302"/>
      <c r="Q76" s="302"/>
      <c r="R76" s="302"/>
      <c r="S76" s="302"/>
      <c r="U76" s="302"/>
      <c r="V76" s="302"/>
      <c r="W76" s="302"/>
      <c r="X76" s="302"/>
      <c r="Y76" s="302"/>
      <c r="Z76" s="302"/>
      <c r="AA76" s="302"/>
      <c r="AB76" s="302"/>
    </row>
    <row r="77" spans="2:28">
      <c r="B77" s="302"/>
      <c r="C77" s="302"/>
      <c r="D77" s="302"/>
      <c r="E77" s="302"/>
      <c r="F77" s="302"/>
      <c r="G77" s="302"/>
      <c r="H77" s="302"/>
      <c r="I77" s="302"/>
      <c r="J77" s="302"/>
      <c r="K77" s="302"/>
      <c r="L77" s="302"/>
      <c r="M77" s="302"/>
      <c r="N77" s="302"/>
      <c r="O77" s="302"/>
      <c r="P77" s="302"/>
      <c r="Q77" s="302"/>
      <c r="R77" s="302"/>
      <c r="S77" s="302"/>
      <c r="U77" s="302"/>
      <c r="V77" s="302"/>
      <c r="W77" s="302"/>
      <c r="X77" s="302"/>
      <c r="Y77" s="302"/>
      <c r="Z77" s="302"/>
      <c r="AA77" s="302"/>
      <c r="AB77" s="302"/>
    </row>
    <row r="78" spans="2:28">
      <c r="B78" s="302"/>
      <c r="C78" s="302"/>
      <c r="D78" s="302"/>
      <c r="E78" s="302"/>
      <c r="F78" s="302"/>
      <c r="G78" s="302"/>
      <c r="H78" s="302"/>
      <c r="I78" s="302"/>
      <c r="J78" s="302"/>
      <c r="K78" s="302"/>
      <c r="L78" s="302"/>
      <c r="M78" s="302"/>
      <c r="N78" s="302"/>
      <c r="O78" s="302"/>
      <c r="P78" s="302"/>
      <c r="Q78" s="302"/>
      <c r="R78" s="302"/>
      <c r="S78" s="302"/>
      <c r="U78" s="302"/>
      <c r="V78" s="302"/>
      <c r="W78" s="302"/>
      <c r="X78" s="302"/>
      <c r="Y78" s="302"/>
      <c r="Z78" s="302"/>
      <c r="AA78" s="302"/>
      <c r="AB78" s="302"/>
    </row>
    <row r="79" spans="2:28">
      <c r="B79" s="302"/>
      <c r="C79" s="302"/>
      <c r="D79" s="302"/>
      <c r="E79" s="302"/>
      <c r="F79" s="302"/>
      <c r="G79" s="302"/>
      <c r="H79" s="302"/>
      <c r="I79" s="302"/>
      <c r="J79" s="302"/>
      <c r="K79" s="302"/>
      <c r="L79" s="302"/>
      <c r="M79" s="302"/>
      <c r="N79" s="302"/>
      <c r="O79" s="302"/>
      <c r="P79" s="302"/>
      <c r="Q79" s="302"/>
      <c r="R79" s="302"/>
      <c r="S79" s="302"/>
      <c r="U79" s="302"/>
      <c r="V79" s="302"/>
      <c r="W79" s="302"/>
      <c r="X79" s="302"/>
      <c r="Y79" s="302"/>
      <c r="Z79" s="302"/>
      <c r="AA79" s="302"/>
      <c r="AB79" s="302"/>
    </row>
    <row r="80" spans="2:28">
      <c r="B80" s="302"/>
      <c r="C80" s="302"/>
      <c r="D80" s="302"/>
      <c r="E80" s="302"/>
      <c r="F80" s="302"/>
      <c r="G80" s="302"/>
      <c r="H80" s="302"/>
      <c r="I80" s="302"/>
      <c r="J80" s="302"/>
      <c r="K80" s="302"/>
      <c r="L80" s="302"/>
      <c r="M80" s="302"/>
      <c r="N80" s="302"/>
      <c r="O80" s="302"/>
      <c r="P80" s="302"/>
      <c r="Q80" s="302"/>
      <c r="R80" s="302"/>
      <c r="S80" s="302"/>
      <c r="U80" s="302"/>
      <c r="V80" s="302"/>
      <c r="W80" s="302"/>
      <c r="X80" s="302"/>
      <c r="Y80" s="302"/>
      <c r="Z80" s="302"/>
      <c r="AA80" s="302"/>
      <c r="AB80" s="302"/>
    </row>
    <row r="81" spans="2:28">
      <c r="B81" s="302"/>
      <c r="C81" s="302"/>
      <c r="D81" s="302"/>
      <c r="E81" s="302"/>
      <c r="F81" s="302"/>
      <c r="G81" s="302"/>
      <c r="H81" s="302"/>
      <c r="I81" s="302"/>
      <c r="J81" s="302"/>
      <c r="K81" s="302"/>
      <c r="L81" s="302"/>
      <c r="M81" s="302"/>
      <c r="N81" s="302"/>
      <c r="O81" s="302"/>
      <c r="P81" s="302"/>
      <c r="Q81" s="302"/>
      <c r="R81" s="302"/>
      <c r="S81" s="302"/>
      <c r="U81" s="302"/>
      <c r="V81" s="302"/>
      <c r="W81" s="302"/>
      <c r="X81" s="302"/>
      <c r="Y81" s="302"/>
      <c r="Z81" s="302"/>
      <c r="AA81" s="302"/>
      <c r="AB81" s="302"/>
    </row>
    <row r="82" spans="2:28">
      <c r="B82" s="302"/>
      <c r="C82" s="302"/>
      <c r="D82" s="302"/>
      <c r="E82" s="302"/>
      <c r="F82" s="302"/>
      <c r="G82" s="302"/>
      <c r="H82" s="302"/>
      <c r="I82" s="302"/>
      <c r="J82" s="302"/>
      <c r="K82" s="302"/>
      <c r="L82" s="302"/>
      <c r="M82" s="302"/>
      <c r="N82" s="302"/>
      <c r="O82" s="302"/>
      <c r="P82" s="302"/>
      <c r="Q82" s="302"/>
      <c r="R82" s="302"/>
      <c r="S82" s="302"/>
      <c r="U82" s="302"/>
      <c r="V82" s="302"/>
      <c r="W82" s="302"/>
      <c r="X82" s="302"/>
      <c r="Y82" s="302"/>
      <c r="Z82" s="302"/>
      <c r="AA82" s="302"/>
      <c r="AB82" s="302"/>
    </row>
    <row r="83" spans="2:28">
      <c r="B83" s="302"/>
      <c r="C83" s="302"/>
      <c r="D83" s="302"/>
      <c r="E83" s="302"/>
      <c r="F83" s="302"/>
      <c r="G83" s="302"/>
      <c r="H83" s="302"/>
      <c r="I83" s="302"/>
      <c r="J83" s="302"/>
      <c r="K83" s="302"/>
      <c r="L83" s="302"/>
      <c r="M83" s="302"/>
      <c r="N83" s="302"/>
      <c r="O83" s="302"/>
      <c r="P83" s="302"/>
      <c r="Q83" s="302"/>
      <c r="R83" s="302"/>
      <c r="S83" s="302"/>
      <c r="U83" s="302"/>
      <c r="V83" s="302"/>
      <c r="W83" s="302"/>
      <c r="X83" s="302"/>
      <c r="Y83" s="302"/>
      <c r="Z83" s="302"/>
      <c r="AA83" s="302"/>
      <c r="AB83" s="302"/>
    </row>
  </sheetData>
  <sheetProtection sheet="1" objects="1" scenarios="1"/>
  <mergeCells count="13">
    <mergeCell ref="C11:G11"/>
    <mergeCell ref="C23:G23"/>
    <mergeCell ref="M14:O14"/>
    <mergeCell ref="C14:C15"/>
    <mergeCell ref="E14:E15"/>
    <mergeCell ref="F16:G16"/>
    <mergeCell ref="F15:G15"/>
    <mergeCell ref="F22:G22"/>
    <mergeCell ref="F17:G17"/>
    <mergeCell ref="F18:G18"/>
    <mergeCell ref="F19:G19"/>
    <mergeCell ref="F20:G20"/>
    <mergeCell ref="F21:G21"/>
  </mergeCells>
  <dataValidations count="5">
    <dataValidation type="list" allowBlank="1" showInputMessage="1" showErrorMessage="1" sqref="B68:B72 B45:B49">
      <formula1>$T$43:$T$47</formula1>
    </dataValidation>
    <dataValidation type="list" allowBlank="1" showInputMessage="1" showErrorMessage="1" sqref="B32:B36">
      <formula1>$T$33:$T$40</formula1>
    </dataValidation>
    <dataValidation type="list" allowBlank="1" showInputMessage="1" showErrorMessage="1" sqref="B16:B22">
      <formula1>$T$16:$T$26</formula1>
    </dataValidation>
    <dataValidation type="list" allowBlank="1" showInputMessage="1" showErrorMessage="1" sqref="E16:E22">
      <formula1>$L$16:$L$18</formula1>
    </dataValidation>
    <dataValidation type="list" allowBlank="1" showInputMessage="1" showErrorMessage="1" sqref="L15">
      <formula1>$M$15:$M$16</formula1>
    </dataValidation>
  </dataValidations>
  <printOptions horizontalCentered="1"/>
  <pageMargins left="1" right="1" top="0.75" bottom="0.75" header="0.3" footer="0"/>
  <pageSetup scale="73" fitToHeight="2" orientation="portrait" r:id="rId1"/>
  <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U69"/>
  <sheetViews>
    <sheetView workbookViewId="0"/>
  </sheetViews>
  <sheetFormatPr defaultRowHeight="12.75"/>
  <cols>
    <col min="1" max="1" width="43.28515625" style="282" customWidth="1"/>
    <col min="2" max="2" width="26.85546875" style="282" customWidth="1"/>
    <col min="3" max="3" width="11" style="282" customWidth="1"/>
    <col min="4" max="4" width="9.5703125" style="282" customWidth="1"/>
    <col min="5" max="5" width="11.28515625" style="282" customWidth="1"/>
    <col min="6" max="6" width="9.28515625" style="282" bestFit="1" customWidth="1"/>
    <col min="7" max="7" width="7.7109375" style="282" customWidth="1"/>
    <col min="8" max="8" width="11.7109375" style="282" customWidth="1"/>
    <col min="9" max="9" width="12.140625" style="282" customWidth="1"/>
    <col min="10" max="10" width="9.140625" style="307"/>
    <col min="11" max="11" width="19.7109375" style="307" customWidth="1"/>
    <col min="12" max="16384" width="9.140625" style="307"/>
  </cols>
  <sheetData>
    <row r="1" spans="1:21" ht="18.75" thickBot="1">
      <c r="B1" s="80" t="s">
        <v>64</v>
      </c>
      <c r="C1" s="410"/>
      <c r="D1" s="410"/>
      <c r="E1" s="410"/>
      <c r="F1" s="410"/>
      <c r="G1" s="410"/>
      <c r="H1" s="410"/>
      <c r="I1" s="80"/>
    </row>
    <row r="2" spans="1:21" ht="26.25" thickBot="1">
      <c r="B2" s="77" t="s">
        <v>35</v>
      </c>
      <c r="C2" s="178"/>
      <c r="D2" s="179"/>
      <c r="E2" s="179"/>
      <c r="F2" s="77"/>
      <c r="G2" s="209"/>
      <c r="H2" s="178" t="s">
        <v>145</v>
      </c>
      <c r="I2" s="212" t="s">
        <v>147</v>
      </c>
      <c r="K2" s="308"/>
      <c r="L2" s="308"/>
    </row>
    <row r="3" spans="1:21">
      <c r="B3" s="92"/>
      <c r="C3" s="115" t="s">
        <v>52</v>
      </c>
      <c r="D3" s="74" t="s">
        <v>36</v>
      </c>
      <c r="E3" s="74" t="s">
        <v>4</v>
      </c>
      <c r="F3" s="210"/>
      <c r="G3" s="211"/>
      <c r="H3" s="122" t="s">
        <v>37</v>
      </c>
      <c r="I3" s="141" t="s">
        <v>37</v>
      </c>
    </row>
    <row r="4" spans="1:21">
      <c r="B4" s="84" t="s">
        <v>139</v>
      </c>
      <c r="C4" s="66">
        <f>IF(Inputs!F25&gt;C10+C11,C10+C11,Inputs!F25)</f>
        <v>69</v>
      </c>
      <c r="D4" s="85">
        <f>Inputs!F26</f>
        <v>75</v>
      </c>
      <c r="E4" s="87">
        <f>Inputs!F27</f>
        <v>1.7</v>
      </c>
      <c r="F4" s="85" t="s">
        <v>153</v>
      </c>
      <c r="G4" s="121"/>
      <c r="H4" s="153">
        <f>C4*D4*E4</f>
        <v>8797.5</v>
      </c>
      <c r="I4" s="147">
        <f>IF(C4=0,0,H4/C4)</f>
        <v>127.5</v>
      </c>
    </row>
    <row r="5" spans="1:21" ht="13.5" thickBot="1">
      <c r="B5" s="84"/>
      <c r="C5" s="66"/>
      <c r="D5" s="85"/>
      <c r="E5" s="85"/>
      <c r="F5" s="85"/>
      <c r="G5" s="121"/>
      <c r="H5" s="213"/>
      <c r="I5" s="214" t="str">
        <f t="shared" ref="I5:I52" si="0">IF(H5=0,"",H5/$C$4)</f>
        <v/>
      </c>
      <c r="K5" s="308"/>
    </row>
    <row r="6" spans="1:21" ht="13.5" thickBot="1">
      <c r="B6" s="215"/>
      <c r="C6" s="159"/>
      <c r="D6" s="78"/>
      <c r="E6" s="78"/>
      <c r="F6" s="78"/>
      <c r="G6" s="160" t="s">
        <v>38</v>
      </c>
      <c r="H6" s="160">
        <f>SUM(H4:H5)</f>
        <v>8797.5</v>
      </c>
      <c r="I6" s="162">
        <f>I4</f>
        <v>127.5</v>
      </c>
    </row>
    <row r="7" spans="1:21" ht="13.5" thickBot="1">
      <c r="B7" s="90"/>
      <c r="C7" s="90"/>
      <c r="D7" s="79"/>
      <c r="E7" s="79"/>
      <c r="F7" s="79"/>
      <c r="G7" s="79"/>
      <c r="H7" s="79"/>
      <c r="I7" s="79" t="str">
        <f t="shared" si="0"/>
        <v/>
      </c>
    </row>
    <row r="8" spans="1:21" ht="26.25" thickBot="1">
      <c r="B8" s="77" t="s">
        <v>39</v>
      </c>
      <c r="C8" s="178"/>
      <c r="D8" s="179"/>
      <c r="E8" s="179"/>
      <c r="F8" s="179"/>
      <c r="G8" s="179"/>
      <c r="H8" s="178" t="s">
        <v>145</v>
      </c>
      <c r="I8" s="212" t="s">
        <v>147</v>
      </c>
    </row>
    <row r="9" spans="1:21">
      <c r="B9" s="111"/>
      <c r="C9" s="71" t="s">
        <v>52</v>
      </c>
      <c r="D9" s="109" t="s">
        <v>36</v>
      </c>
      <c r="E9" s="109" t="s">
        <v>4</v>
      </c>
      <c r="F9" s="334"/>
      <c r="G9" s="335"/>
      <c r="H9" s="336" t="s">
        <v>37</v>
      </c>
      <c r="I9" s="110" t="s">
        <v>37</v>
      </c>
    </row>
    <row r="10" spans="1:21" ht="12.75" customHeight="1">
      <c r="B10" s="92" t="s">
        <v>179</v>
      </c>
      <c r="C10" s="202">
        <f>Inputs!F20</f>
        <v>44</v>
      </c>
      <c r="D10" s="85">
        <f>Inputs!F16</f>
        <v>45</v>
      </c>
      <c r="E10" s="87">
        <f>IF(C10=0,0,Inputs!F17)</f>
        <v>1.45</v>
      </c>
      <c r="F10" s="85" t="s">
        <v>153</v>
      </c>
      <c r="G10" s="121"/>
      <c r="H10" s="154">
        <f>IF(C10=0,0,C10*D10*E10)</f>
        <v>2871</v>
      </c>
      <c r="I10" s="204">
        <f>IF(B10="","",IF($C$4=0,"",H10/$C$4))</f>
        <v>41.608695652173914</v>
      </c>
    </row>
    <row r="11" spans="1:21" ht="12.75" customHeight="1" thickBot="1">
      <c r="B11" s="92" t="s">
        <v>140</v>
      </c>
      <c r="C11" s="202">
        <f>Inputs!F21</f>
        <v>25</v>
      </c>
      <c r="D11" s="85">
        <f>Inputs!F23</f>
        <v>45</v>
      </c>
      <c r="E11" s="87">
        <f>Inputs!F22</f>
        <v>1.45</v>
      </c>
      <c r="F11" s="85" t="s">
        <v>153</v>
      </c>
      <c r="G11" s="121"/>
      <c r="H11" s="382">
        <f>IF(C11=0,0,C11*D11*E11)</f>
        <v>1631.25</v>
      </c>
      <c r="I11" s="205">
        <f>IF(B11="","",IF($C$4=0,"",H11/$C$4))</f>
        <v>23.641304347826086</v>
      </c>
    </row>
    <row r="12" spans="1:21" ht="12.75" customHeight="1" thickTop="1">
      <c r="B12" s="92"/>
      <c r="C12" s="202"/>
      <c r="D12" s="85"/>
      <c r="E12" s="87"/>
      <c r="F12" s="85"/>
      <c r="G12" s="332" t="s">
        <v>68</v>
      </c>
      <c r="H12" s="154">
        <f>SUM(H10:H11)</f>
        <v>4502.25</v>
      </c>
      <c r="I12" s="148">
        <f>SUM(I10:I11)</f>
        <v>65.25</v>
      </c>
    </row>
    <row r="13" spans="1:21" ht="13.5" customHeight="1">
      <c r="B13" s="84"/>
      <c r="C13" s="66"/>
      <c r="D13" s="85"/>
      <c r="E13" s="85"/>
      <c r="F13" s="85"/>
      <c r="G13" s="121"/>
      <c r="H13" s="20"/>
      <c r="I13" s="149" t="str">
        <f t="shared" si="0"/>
        <v/>
      </c>
      <c r="K13" s="308"/>
      <c r="L13" s="396"/>
      <c r="M13" s="308"/>
      <c r="U13" s="307" t="str">
        <f>IF(Inputs!B31="","",Inputs!B31)</f>
        <v>Native Pasture - Does</v>
      </c>
    </row>
    <row r="14" spans="1:21">
      <c r="B14" s="84"/>
      <c r="C14" s="393" t="s">
        <v>89</v>
      </c>
      <c r="D14" s="85"/>
      <c r="E14" s="395" t="s">
        <v>82</v>
      </c>
      <c r="F14" s="85"/>
      <c r="G14" s="121"/>
      <c r="H14" s="20"/>
      <c r="I14" s="149" t="str">
        <f t="shared" si="0"/>
        <v/>
      </c>
      <c r="K14" s="308"/>
      <c r="L14" s="396"/>
      <c r="M14" s="308"/>
      <c r="U14" s="307" t="str">
        <f>IF(Inputs!B32="","",Inputs!B32)</f>
        <v>Prairie Hay</v>
      </c>
    </row>
    <row r="15" spans="1:21" ht="29.25" customHeight="1">
      <c r="A15" s="306"/>
      <c r="B15" s="92" t="s">
        <v>6</v>
      </c>
      <c r="C15" s="393"/>
      <c r="D15" s="85"/>
      <c r="E15" s="395"/>
      <c r="F15" s="142" t="s">
        <v>4</v>
      </c>
      <c r="G15" s="198"/>
      <c r="H15" s="321" t="s">
        <v>37</v>
      </c>
      <c r="I15" s="141" t="s">
        <v>37</v>
      </c>
      <c r="K15" s="310"/>
      <c r="L15" s="396"/>
      <c r="M15" s="308"/>
      <c r="U15" s="307" t="str">
        <f>IF(Inputs!B33="","",Inputs!B33)</f>
        <v>Alfalfa Hay</v>
      </c>
    </row>
    <row r="16" spans="1:21">
      <c r="B16" s="344" t="s">
        <v>76</v>
      </c>
      <c r="C16" s="340">
        <v>72</v>
      </c>
      <c r="D16" s="133" t="str">
        <f t="shared" ref="D16:D21" si="1">IF(B16="","",CONCATENATE(VLOOKUP(B16,Feed,4,FALSE),"s"))</f>
        <v>lbs</v>
      </c>
      <c r="E16" s="276" t="s">
        <v>78</v>
      </c>
      <c r="F16" s="95">
        <f t="shared" ref="F16:F21" si="2">IF(B16="","",VLOOKUP(B16,Feed,6,FALSE))</f>
        <v>0.04</v>
      </c>
      <c r="G16" s="156" t="str">
        <f t="shared" ref="G16:G21" si="3">IF(B16="","",CONCATENATE("$ ",VLOOKUP(B16,Feed,4,FALSE)))</f>
        <v>$ lb</v>
      </c>
      <c r="H16" s="180">
        <f>IF(B16="","",C16*F16*IF(E16="per animal",($C$10+$C$11+$C$4)/2,1))</f>
        <v>198.72</v>
      </c>
      <c r="I16" s="204">
        <f>IF(B16="","",IF($C$4=0,"",H16/$C$4))</f>
        <v>2.88</v>
      </c>
      <c r="K16" s="307" t="s">
        <v>78</v>
      </c>
      <c r="L16" s="308"/>
      <c r="M16" s="308"/>
      <c r="U16" s="307" t="str">
        <f>IF(Inputs!B34="","",Inputs!B34)</f>
        <v>Creep Feed</v>
      </c>
    </row>
    <row r="17" spans="1:21">
      <c r="B17" s="344" t="s">
        <v>125</v>
      </c>
      <c r="C17" s="341">
        <v>4.0199999999999996</v>
      </c>
      <c r="D17" s="133" t="str">
        <f t="shared" si="1"/>
        <v>lbs</v>
      </c>
      <c r="E17" s="277" t="s">
        <v>78</v>
      </c>
      <c r="F17" s="95">
        <f t="shared" si="2"/>
        <v>0.22</v>
      </c>
      <c r="G17" s="156" t="str">
        <f t="shared" si="3"/>
        <v>$ lb</v>
      </c>
      <c r="H17" s="180">
        <f>IF(B17="","",C17*F17*IF(E17="per animal",($C$10+$C$11+$C$4)/2,1))</f>
        <v>61.023599999999995</v>
      </c>
      <c r="I17" s="204">
        <f t="shared" ref="I17:I21" si="4">IF(B17="","",IF($C$4=0,"",H17/$C$4))</f>
        <v>0.88439999999999996</v>
      </c>
      <c r="K17" s="307" t="s">
        <v>83</v>
      </c>
      <c r="L17" s="308"/>
      <c r="M17" s="308"/>
      <c r="U17" s="307" t="str">
        <f>IF(Inputs!B35="","",Inputs!B35)</f>
        <v>Mineral Mix</v>
      </c>
    </row>
    <row r="18" spans="1:21">
      <c r="B18" s="344" t="s">
        <v>101</v>
      </c>
      <c r="C18" s="340">
        <v>4</v>
      </c>
      <c r="D18" s="133" t="str">
        <f t="shared" si="1"/>
        <v>months</v>
      </c>
      <c r="E18" s="276" t="s">
        <v>78</v>
      </c>
      <c r="F18" s="95" t="str">
        <f t="shared" si="2"/>
        <v/>
      </c>
      <c r="G18" s="156" t="str">
        <f t="shared" si="3"/>
        <v>$ month</v>
      </c>
      <c r="H18" s="180">
        <f>IF(B18="","",IFERROR(C18*F18*IF(E18="per animal",($C$10+$C$11+$C$4)/2,1),0))</f>
        <v>0</v>
      </c>
      <c r="I18" s="204">
        <f t="shared" si="4"/>
        <v>0</v>
      </c>
      <c r="K18" s="308"/>
      <c r="L18" s="308"/>
      <c r="M18" s="308"/>
      <c r="U18" s="307" t="str">
        <f>IF(Inputs!B36="","",Inputs!B36)</f>
        <v>Corn</v>
      </c>
    </row>
    <row r="19" spans="1:21">
      <c r="B19" s="344"/>
      <c r="C19" s="340"/>
      <c r="D19" s="133" t="str">
        <f t="shared" si="1"/>
        <v/>
      </c>
      <c r="E19" s="276"/>
      <c r="F19" s="95" t="str">
        <f t="shared" si="2"/>
        <v/>
      </c>
      <c r="G19" s="156" t="str">
        <f t="shared" si="3"/>
        <v/>
      </c>
      <c r="H19" s="180" t="str">
        <f>IF(B19="","",C19*F19*IF(E19="per animal",($C$10+$C$11+$C$4)/2,1))</f>
        <v/>
      </c>
      <c r="I19" s="204" t="str">
        <f t="shared" si="4"/>
        <v/>
      </c>
      <c r="K19" s="308"/>
      <c r="L19" s="308"/>
      <c r="M19" s="308"/>
      <c r="U19" s="307" t="str">
        <f>IF(Inputs!B37="","",Inputs!B37)</f>
        <v>Native Pasture - Replacement</v>
      </c>
    </row>
    <row r="20" spans="1:21">
      <c r="B20" s="344"/>
      <c r="C20" s="340"/>
      <c r="D20" s="133" t="str">
        <f t="shared" si="1"/>
        <v/>
      </c>
      <c r="E20" s="276"/>
      <c r="F20" s="95" t="str">
        <f t="shared" si="2"/>
        <v/>
      </c>
      <c r="G20" s="156" t="str">
        <f t="shared" si="3"/>
        <v/>
      </c>
      <c r="H20" s="180" t="str">
        <f>IF(B20="","",C20*F20*IF(E20="per animal",($C$10+$C$11+$C$4)/2,1))</f>
        <v/>
      </c>
      <c r="I20" s="204" t="str">
        <f t="shared" si="4"/>
        <v/>
      </c>
      <c r="K20" s="308"/>
      <c r="L20" s="308"/>
      <c r="M20" s="308"/>
      <c r="U20" s="307" t="str">
        <f>IF(Inputs!B38="","",Inputs!B38)</f>
        <v>Native Pasture - Finish</v>
      </c>
    </row>
    <row r="21" spans="1:21" ht="13.5" thickBot="1">
      <c r="B21" s="344"/>
      <c r="C21" s="340" t="s">
        <v>10</v>
      </c>
      <c r="D21" s="133" t="str">
        <f t="shared" si="1"/>
        <v/>
      </c>
      <c r="E21" s="276"/>
      <c r="F21" s="95" t="str">
        <f t="shared" si="2"/>
        <v/>
      </c>
      <c r="G21" s="156" t="str">
        <f t="shared" si="3"/>
        <v/>
      </c>
      <c r="H21" s="183" t="str">
        <f>IF(B21="","",C21*F21*IF(E21="per animal",($C$10+$C$11+$C$4)/2,1))</f>
        <v/>
      </c>
      <c r="I21" s="205" t="str">
        <f t="shared" si="4"/>
        <v/>
      </c>
      <c r="K21" s="308"/>
      <c r="L21" s="308"/>
      <c r="M21" s="308"/>
      <c r="U21" s="307" t="str">
        <f>IF(Inputs!B39="","",Inputs!B39)</f>
        <v>Native Pasture - Bucks</v>
      </c>
    </row>
    <row r="22" spans="1:21" ht="13.5" thickTop="1">
      <c r="B22" s="345"/>
      <c r="C22" s="342"/>
      <c r="D22" s="85"/>
      <c r="E22" s="97"/>
      <c r="F22" s="108"/>
      <c r="G22" s="332" t="s">
        <v>42</v>
      </c>
      <c r="H22" s="333">
        <f>SUM(H16:H21)</f>
        <v>259.74360000000001</v>
      </c>
      <c r="I22" s="150">
        <f>SUM(I16:I21)</f>
        <v>3.7643999999999997</v>
      </c>
      <c r="U22" s="307" t="str">
        <f>IF(Inputs!B40="","",Inputs!B40)</f>
        <v/>
      </c>
    </row>
    <row r="23" spans="1:21">
      <c r="A23" s="290"/>
      <c r="B23" s="345"/>
      <c r="C23" s="85"/>
      <c r="D23" s="85"/>
      <c r="E23" s="85"/>
      <c r="F23" s="85"/>
      <c r="G23" s="121"/>
      <c r="H23" s="180"/>
      <c r="I23" s="147" t="str">
        <f t="shared" si="0"/>
        <v/>
      </c>
    </row>
    <row r="24" spans="1:21">
      <c r="B24" s="346" t="s">
        <v>55</v>
      </c>
      <c r="C24" s="142"/>
      <c r="D24" s="85"/>
      <c r="E24" s="74" t="s">
        <v>56</v>
      </c>
      <c r="F24" s="74"/>
      <c r="G24" s="122"/>
      <c r="H24" s="320" t="s">
        <v>37</v>
      </c>
      <c r="I24" s="337" t="s">
        <v>37</v>
      </c>
      <c r="J24" s="308"/>
    </row>
    <row r="25" spans="1:21">
      <c r="B25" s="345" t="s">
        <v>11</v>
      </c>
      <c r="C25" s="87"/>
      <c r="D25" s="85"/>
      <c r="E25" s="216">
        <f>IF($H$6=0,0,IF(B25="","",IF(VLOOKUP(B25,NonFeed,3,FALSE)="",$H$6/($H$6+Herd!$H$7),VLOOKUP(B25,NonFeed,5,FALSE))))</f>
        <v>0.25</v>
      </c>
      <c r="F25" s="85"/>
      <c r="G25" s="121"/>
      <c r="H25" s="153">
        <f>IF(B25="","",VLOOKUP(B25,NonFeed,2,FALSE)*E25*IF(VLOOKUP(B25,NonFeed,3,FALSE)="per animal",('Finish Kids'!$C$4+'Finish Kids'!$C$10+'Finish Kids'!$C$11)/2,1))</f>
        <v>125</v>
      </c>
      <c r="I25" s="204">
        <f>IF(B25="","",IF($C$4=0,"",H25/$C$4))</f>
        <v>1.8115942028985508</v>
      </c>
    </row>
    <row r="26" spans="1:21">
      <c r="B26" s="345" t="s">
        <v>12</v>
      </c>
      <c r="C26" s="87"/>
      <c r="D26" s="85"/>
      <c r="E26" s="216">
        <f>IF($H$6=0,0,IF(B26="","",IF(VLOOKUP(B26,NonFeed,3,FALSE)="",$H$6/($H$6+Herd!$H$7),VLOOKUP(B26,NonFeed,5,FALSE))))</f>
        <v>0.25</v>
      </c>
      <c r="F26" s="85"/>
      <c r="G26" s="121"/>
      <c r="H26" s="153">
        <f>IF(B26="","",VLOOKUP(B26,NonFeed,2,FALSE)*E26*IF(VLOOKUP(B26,NonFeed,3,FALSE)="per animal",('Finish Kids'!$C$4+'Finish Kids'!$C$10+'Finish Kids'!$C$11)/2,1))</f>
        <v>75</v>
      </c>
      <c r="I26" s="204">
        <f t="shared" ref="I26:I32" si="5">IF(B26="","",IF($C$4=0,"",H26/$C$4))</f>
        <v>1.0869565217391304</v>
      </c>
    </row>
    <row r="27" spans="1:21">
      <c r="B27" s="345" t="s">
        <v>130</v>
      </c>
      <c r="C27" s="87"/>
      <c r="D27" s="85"/>
      <c r="E27" s="216">
        <f>IF($H$6=0,0,IF(B27="","",IF(VLOOKUP(B27,NonFeed,3,FALSE)="",$H$6/($H$6+Herd!$H$7),VLOOKUP(B27,NonFeed,5,FALSE))))</f>
        <v>0.25</v>
      </c>
      <c r="F27" s="85"/>
      <c r="G27" s="121"/>
      <c r="H27" s="153">
        <f>IF(B27="","",VLOOKUP(B27,NonFeed,2,FALSE)*E27*IF(VLOOKUP(B27,NonFeed,3,FALSE)="per animal",('Finish Kids'!$C$4+'Finish Kids'!$C$10+'Finish Kids'!$C$11)/2,1))</f>
        <v>37.5</v>
      </c>
      <c r="I27" s="204">
        <f t="shared" si="5"/>
        <v>0.54347826086956519</v>
      </c>
    </row>
    <row r="28" spans="1:21">
      <c r="B28" s="345" t="s">
        <v>127</v>
      </c>
      <c r="C28" s="343"/>
      <c r="D28" s="85"/>
      <c r="E28" s="216">
        <f>IF($H$6=0,0,IF(B28="","",IF(VLOOKUP(B28,NonFeed,3,FALSE)="",$H$6/($H$6+Herd!$H$7),VLOOKUP(B28,NonFeed,5,FALSE))))</f>
        <v>1</v>
      </c>
      <c r="F28" s="85"/>
      <c r="G28" s="121"/>
      <c r="H28" s="153">
        <f>IF(B28="","",VLOOKUP(B28,NonFeed,2,FALSE)*E28*IF(VLOOKUP(B28,NonFeed,3,FALSE)="per animal",('Finish Kids'!$C$4+'Finish Kids'!$C$10+'Finish Kids'!$C$11)/2,1))</f>
        <v>75</v>
      </c>
      <c r="I28" s="204">
        <f t="shared" si="5"/>
        <v>1.0869565217391304</v>
      </c>
      <c r="U28" s="307" t="str">
        <f>IF(Inputs!B51="","",Inputs!B51)</f>
        <v>Supplies</v>
      </c>
    </row>
    <row r="29" spans="1:21">
      <c r="B29" s="347" t="s">
        <v>93</v>
      </c>
      <c r="C29" s="87"/>
      <c r="D29" s="85"/>
      <c r="E29" s="216">
        <f>IF($H$6=0,0,IF(B29="","",IF(VLOOKUP(B29,NonFeed,3,FALSE)="",$H$6/($H$6+Herd!$H$7),VLOOKUP(B29,NonFeed,5,FALSE))))</f>
        <v>0.25</v>
      </c>
      <c r="F29" s="85"/>
      <c r="G29" s="121"/>
      <c r="H29" s="153">
        <f>IF(B29="","",VLOOKUP(B29,NonFeed,2,FALSE)*E29*IF(VLOOKUP(B29,NonFeed,3,FALSE)="per animal",('Finish Kids'!$C$4+'Finish Kids'!$C$10+'Finish Kids'!$C$11)/2,1))</f>
        <v>25</v>
      </c>
      <c r="I29" s="204">
        <f t="shared" si="5"/>
        <v>0.36231884057971014</v>
      </c>
      <c r="U29" s="307" t="str">
        <f>IF(Inputs!B52="","",Inputs!B52)</f>
        <v/>
      </c>
    </row>
    <row r="30" spans="1:21">
      <c r="B30" s="347" t="s">
        <v>10</v>
      </c>
      <c r="C30" s="87" t="s">
        <v>10</v>
      </c>
      <c r="D30" s="85"/>
      <c r="E30" s="216" t="str">
        <f>IF($H$6=0,0,IF(B30="","",IF(VLOOKUP(B30,NonFeed,3,FALSE)="",$H$6/($H$6+Herd!$H$7),VLOOKUP(B30,NonFeed,5,FALSE))))</f>
        <v/>
      </c>
      <c r="F30" s="85" t="s">
        <v>10</v>
      </c>
      <c r="G30" s="121"/>
      <c r="H30" s="153" t="str">
        <f>IF(B30="","",VLOOKUP(B30,NonFeed,2,FALSE)*E30*IF(VLOOKUP(B30,NonFeed,3,FALSE)="per animal",('Finish Kids'!$C$4+'Finish Kids'!$C$10+'Finish Kids'!$C$11)/2,1))</f>
        <v/>
      </c>
      <c r="I30" s="204" t="str">
        <f t="shared" si="5"/>
        <v/>
      </c>
      <c r="U30" s="307" t="str">
        <f>IF(Inputs!B53="","",Inputs!B53)</f>
        <v/>
      </c>
    </row>
    <row r="31" spans="1:21">
      <c r="B31" s="347"/>
      <c r="C31" s="87" t="s">
        <v>10</v>
      </c>
      <c r="D31" s="85"/>
      <c r="E31" s="216" t="str">
        <f>IF($H$6=0,0,IF(B31="","",IF(VLOOKUP(B31,NonFeed,3,FALSE)="",$H$6/($H$6+Herd!$H$7),VLOOKUP(B31,NonFeed,5,FALSE))))</f>
        <v/>
      </c>
      <c r="F31" s="85"/>
      <c r="G31" s="121"/>
      <c r="H31" s="153" t="str">
        <f>IF(B31="","",VLOOKUP(B31,NonFeed,2,FALSE)*E31*IF(VLOOKUP(B31,NonFeed,3,FALSE)="per animal",('Finish Kids'!$C$4+'Finish Kids'!$C$10+'Finish Kids'!$C$11)/2,1))</f>
        <v/>
      </c>
      <c r="I31" s="204" t="str">
        <f t="shared" si="5"/>
        <v/>
      </c>
      <c r="U31" s="307" t="str">
        <f>IF(Inputs!B54="","",Inputs!B54)</f>
        <v/>
      </c>
    </row>
    <row r="32" spans="1:21">
      <c r="B32" s="344" t="s">
        <v>10</v>
      </c>
      <c r="C32" s="87" t="s">
        <v>10</v>
      </c>
      <c r="D32" s="108"/>
      <c r="E32" s="216" t="str">
        <f>IF($H$6=0,0,IF(B32="","",IF(VLOOKUP(B32,NonFeed,3,FALSE)="",$H$6/($H$6+Herd!$H$7),VLOOKUP(B32,NonFeed,5,FALSE))))</f>
        <v/>
      </c>
      <c r="F32" s="85" t="s">
        <v>10</v>
      </c>
      <c r="G32" s="121"/>
      <c r="H32" s="153" t="str">
        <f>IF(B32="","",VLOOKUP(B32,NonFeed,2,FALSE)*E32*IF(VLOOKUP(B32,NonFeed,3,FALSE)="per animal",('Finish Kids'!$C$4+'Finish Kids'!$C$10+'Finish Kids'!$C$11)/2,1))</f>
        <v/>
      </c>
      <c r="I32" s="204" t="str">
        <f t="shared" si="5"/>
        <v/>
      </c>
      <c r="U32" s="307" t="str">
        <f>IF(Inputs!B55="","",Inputs!B55)</f>
        <v/>
      </c>
    </row>
    <row r="33" spans="2:21" ht="13.5" thickBot="1">
      <c r="B33" s="84" t="s">
        <v>43</v>
      </c>
      <c r="C33" s="66"/>
      <c r="D33" s="85"/>
      <c r="E33" s="85"/>
      <c r="F33" s="85"/>
      <c r="G33" s="121"/>
      <c r="H33" s="75">
        <f>(SUM(H22,H25:H27,H29:H32,E39:E44)/2+H10)*Inputs!D73*Inputs!F24/365</f>
        <v>56.434568054794525</v>
      </c>
      <c r="I33" s="140">
        <f>IF(C4=0,0,IF(H33="","",H33/$C$4))</f>
        <v>0.817892290649196</v>
      </c>
      <c r="U33" s="307" t="str">
        <f>IF(Inputs!B56="","",Inputs!B56)</f>
        <v/>
      </c>
    </row>
    <row r="34" spans="2:21" ht="14.25" thickTop="1" thickBot="1">
      <c r="B34" s="88"/>
      <c r="C34" s="69"/>
      <c r="D34" s="98"/>
      <c r="E34" s="98"/>
      <c r="F34" s="134"/>
      <c r="G34" s="319" t="s">
        <v>53</v>
      </c>
      <c r="H34" s="338">
        <f>SUM(H25:H33)</f>
        <v>393.93456805479451</v>
      </c>
      <c r="I34" s="339">
        <f>SUM(I25:I33)</f>
        <v>5.7091966384752828</v>
      </c>
      <c r="U34" s="307" t="str">
        <f>IF(Inputs!B57="","",Inputs!B57)</f>
        <v/>
      </c>
    </row>
    <row r="35" spans="2:21" ht="13.5" thickBot="1">
      <c r="B35" s="215"/>
      <c r="C35" s="159"/>
      <c r="D35" s="78"/>
      <c r="E35" s="78"/>
      <c r="F35" s="78"/>
      <c r="G35" s="57" t="s">
        <v>44</v>
      </c>
      <c r="H35" s="207">
        <f>SUM(H10:H11)+H22+H34</f>
        <v>5155.9281680547947</v>
      </c>
      <c r="I35" s="220">
        <f>SUM(I10:I11)+I22+I34</f>
        <v>74.723596638475271</v>
      </c>
    </row>
    <row r="36" spans="2:21" ht="13.5" thickBot="1">
      <c r="B36" s="85"/>
      <c r="C36" s="85"/>
      <c r="D36" s="85"/>
      <c r="E36" s="85"/>
      <c r="F36" s="97"/>
      <c r="G36" s="97"/>
      <c r="H36" s="100"/>
      <c r="I36" s="151" t="str">
        <f t="shared" si="0"/>
        <v/>
      </c>
    </row>
    <row r="37" spans="2:21" ht="26.25" thickBot="1">
      <c r="B37" s="77" t="s">
        <v>165</v>
      </c>
      <c r="C37" s="178"/>
      <c r="D37" s="179"/>
      <c r="E37" s="179"/>
      <c r="F37" s="179"/>
      <c r="G37" s="179"/>
      <c r="H37" s="178" t="s">
        <v>145</v>
      </c>
      <c r="I37" s="212" t="s">
        <v>147</v>
      </c>
    </row>
    <row r="38" spans="2:21">
      <c r="B38" s="117" t="s">
        <v>46</v>
      </c>
      <c r="C38" s="135"/>
      <c r="D38" s="109"/>
      <c r="E38" s="109" t="s">
        <v>17</v>
      </c>
      <c r="F38" s="109"/>
      <c r="G38" s="336"/>
      <c r="H38" s="350" t="s">
        <v>37</v>
      </c>
      <c r="I38" s="110" t="s">
        <v>37</v>
      </c>
    </row>
    <row r="39" spans="2:21">
      <c r="B39" s="84" t="s">
        <v>18</v>
      </c>
      <c r="C39" s="66"/>
      <c r="D39" s="94"/>
      <c r="E39" s="94">
        <f>IF(B39="","",VLOOKUP(B39,Depreciable,5,FALSE)*IF(VLOOKUP(B39,Depreciable,7,FALSE)="",$H$6/($H$6+Herd!$H$7),VLOOKUP(B39,Depreciable,7,FALSE)))</f>
        <v>200</v>
      </c>
      <c r="F39" s="94"/>
      <c r="G39" s="153"/>
      <c r="H39" s="153">
        <f t="shared" ref="H39:H44" si="6">SUM(D39:E39)</f>
        <v>200</v>
      </c>
      <c r="I39" s="204">
        <f t="shared" ref="I39:I44" si="7">IF(B39="","",IF($C$4=0,"",H39/$C$4))</f>
        <v>2.8985507246376812</v>
      </c>
    </row>
    <row r="40" spans="2:21">
      <c r="B40" s="84" t="s">
        <v>155</v>
      </c>
      <c r="C40" s="66"/>
      <c r="D40" s="94"/>
      <c r="E40" s="94">
        <f>IF(B40="","",VLOOKUP(B40,Depreciable,5,FALSE)*IF(VLOOKUP(B40,Depreciable,7,FALSE)="",$H$6/($H$6+Herd!$H$7),VLOOKUP(B40,Depreciable,7,FALSE)))</f>
        <v>75</v>
      </c>
      <c r="F40" s="94"/>
      <c r="G40" s="153"/>
      <c r="H40" s="153">
        <f t="shared" si="6"/>
        <v>75</v>
      </c>
      <c r="I40" s="204">
        <f t="shared" si="7"/>
        <v>1.0869565217391304</v>
      </c>
      <c r="U40" s="307" t="str">
        <f>IF(Inputs!B66="","",Inputs!B66)</f>
        <v/>
      </c>
    </row>
    <row r="41" spans="2:21">
      <c r="B41" s="344"/>
      <c r="C41" s="85"/>
      <c r="D41" s="94"/>
      <c r="E41" s="94" t="str">
        <f>IF(B41="","",VLOOKUP(B41,Depreciable,5,FALSE)*IF(VLOOKUP(B41,Depreciable,7,FALSE)="",$H$6/($H$6+Herd!$H$7),VLOOKUP(B41,Depreciable,7,FALSE)))</f>
        <v/>
      </c>
      <c r="F41" s="94"/>
      <c r="G41" s="153"/>
      <c r="H41" s="153">
        <f t="shared" si="6"/>
        <v>0</v>
      </c>
      <c r="I41" s="204" t="str">
        <f t="shared" si="7"/>
        <v/>
      </c>
      <c r="U41" s="307" t="str">
        <f>IF(Inputs!B67="","",Inputs!B67)</f>
        <v/>
      </c>
    </row>
    <row r="42" spans="2:21">
      <c r="B42" s="344"/>
      <c r="C42" s="85"/>
      <c r="D42" s="94"/>
      <c r="E42" s="94" t="str">
        <f>IF(B42="","",VLOOKUP(B42,Depreciable,5,FALSE)*IF(VLOOKUP(B42,Depreciable,7,FALSE)="",$H$6/($H$6+Herd!$H$7),VLOOKUP(B42,Depreciable,7,FALSE)))</f>
        <v/>
      </c>
      <c r="F42" s="94"/>
      <c r="G42" s="153"/>
      <c r="H42" s="153">
        <f t="shared" si="6"/>
        <v>0</v>
      </c>
      <c r="I42" s="204" t="str">
        <f t="shared" si="7"/>
        <v/>
      </c>
      <c r="U42" s="307" t="str">
        <f>IF(Inputs!B68="","",Inputs!B68)</f>
        <v/>
      </c>
    </row>
    <row r="43" spans="2:21">
      <c r="B43" s="344"/>
      <c r="C43" s="85"/>
      <c r="D43" s="94"/>
      <c r="E43" s="94" t="str">
        <f>IF(B43="","",VLOOKUP(B43,Depreciable,5,FALSE)*IF(VLOOKUP(B43,Depreciable,7,FALSE)="",$H$6/($H$6+Herd!$H$7),VLOOKUP(B43,Depreciable,7,FALSE)))</f>
        <v/>
      </c>
      <c r="F43" s="94"/>
      <c r="G43" s="153"/>
      <c r="H43" s="153">
        <f t="shared" si="6"/>
        <v>0</v>
      </c>
      <c r="I43" s="204" t="str">
        <f t="shared" si="7"/>
        <v/>
      </c>
      <c r="U43" s="307" t="str">
        <f>IF(Inputs!B69="","",Inputs!B69)</f>
        <v/>
      </c>
    </row>
    <row r="44" spans="2:21" ht="13.5" thickBot="1">
      <c r="B44" s="344"/>
      <c r="C44" s="85"/>
      <c r="D44" s="94"/>
      <c r="E44" s="94" t="str">
        <f>IF(B44="","",VLOOKUP(B44,Depreciable,5,FALSE)*IF(VLOOKUP(B44,Depreciable,7,FALSE)="",$H$6/($H$6+Herd!$H$7),VLOOKUP(B44,Depreciable,7,FALSE)))</f>
        <v/>
      </c>
      <c r="F44" s="94"/>
      <c r="G44" s="153"/>
      <c r="H44" s="75">
        <f t="shared" si="6"/>
        <v>0</v>
      </c>
      <c r="I44" s="205" t="str">
        <f t="shared" si="7"/>
        <v/>
      </c>
      <c r="U44" s="307" t="str">
        <f>IF(Inputs!B70="","",Inputs!B70)</f>
        <v/>
      </c>
    </row>
    <row r="45" spans="2:21" ht="13.5" thickTop="1">
      <c r="B45" s="84"/>
      <c r="C45" s="66"/>
      <c r="D45" s="108"/>
      <c r="E45" s="143"/>
      <c r="F45" s="143"/>
      <c r="G45" s="348" t="s">
        <v>172</v>
      </c>
      <c r="H45" s="155">
        <f>SUM(H39:H44)</f>
        <v>275</v>
      </c>
      <c r="I45" s="138">
        <f>SUM(I39:I44)</f>
        <v>3.9855072463768115</v>
      </c>
    </row>
    <row r="46" spans="2:21">
      <c r="B46" s="84"/>
      <c r="C46" s="66"/>
      <c r="D46" s="85"/>
      <c r="E46" s="85"/>
      <c r="F46" s="85"/>
      <c r="G46" s="121"/>
      <c r="H46" s="323"/>
      <c r="I46" s="147" t="str">
        <f t="shared" si="0"/>
        <v/>
      </c>
    </row>
    <row r="47" spans="2:21">
      <c r="B47" s="118" t="s">
        <v>65</v>
      </c>
      <c r="C47" s="66"/>
      <c r="D47" s="85"/>
      <c r="E47" s="129" t="s">
        <v>56</v>
      </c>
      <c r="F47" s="85"/>
      <c r="G47" s="121"/>
      <c r="H47" s="349" t="s">
        <v>37</v>
      </c>
      <c r="I47" s="141" t="s">
        <v>37</v>
      </c>
    </row>
    <row r="48" spans="2:21">
      <c r="B48" s="84" t="str">
        <f>Inputs!B78</f>
        <v>Real Estate Tax</v>
      </c>
      <c r="C48" s="66"/>
      <c r="D48" s="85"/>
      <c r="E48" s="217">
        <f>VLOOKUP(B48,Overhead,7,FALSE)*Inputs!F78</f>
        <v>0.15</v>
      </c>
      <c r="F48" s="85"/>
      <c r="G48" s="121"/>
      <c r="H48" s="153">
        <f>E48*Inputs!D78</f>
        <v>45</v>
      </c>
      <c r="I48" s="147">
        <f t="shared" si="0"/>
        <v>0.65217391304347827</v>
      </c>
    </row>
    <row r="49" spans="2:11">
      <c r="B49" s="84" t="str">
        <f>Inputs!B79</f>
        <v>Annual Insurance Premium</v>
      </c>
      <c r="C49" s="66"/>
      <c r="D49" s="85"/>
      <c r="E49" s="217">
        <f>VLOOKUP(B49,Overhead,7,FALSE)*Inputs!F79</f>
        <v>0.11999999999999997</v>
      </c>
      <c r="F49" s="85"/>
      <c r="G49" s="121"/>
      <c r="H49" s="153">
        <f>E49*Inputs!D79</f>
        <v>59.999999999999986</v>
      </c>
      <c r="I49" s="147">
        <f t="shared" si="0"/>
        <v>0.8695652173913041</v>
      </c>
    </row>
    <row r="50" spans="2:11">
      <c r="B50" s="84" t="str">
        <f>Inputs!B80</f>
        <v>Professional Fees</v>
      </c>
      <c r="C50" s="66"/>
      <c r="D50" s="85"/>
      <c r="E50" s="217">
        <f>VLOOKUP(B50,Overhead,7,FALSE)*Inputs!F80</f>
        <v>0.3</v>
      </c>
      <c r="F50" s="85"/>
      <c r="G50" s="121"/>
      <c r="H50" s="153">
        <f>E50*Inputs!D80</f>
        <v>120</v>
      </c>
      <c r="I50" s="147">
        <f t="shared" si="0"/>
        <v>1.7391304347826086</v>
      </c>
    </row>
    <row r="51" spans="2:11">
      <c r="B51" s="84" t="str">
        <f>Inputs!B81</f>
        <v>Annual Management Charge</v>
      </c>
      <c r="C51" s="66"/>
      <c r="D51" s="85"/>
      <c r="E51" s="217">
        <f>VLOOKUP(B51,Overhead,7,FALSE)*Inputs!F81</f>
        <v>0.3</v>
      </c>
      <c r="F51" s="85"/>
      <c r="G51" s="121"/>
      <c r="H51" s="153">
        <f>E51*Inputs!D81</f>
        <v>60</v>
      </c>
      <c r="I51" s="147">
        <f t="shared" si="0"/>
        <v>0.86956521739130432</v>
      </c>
    </row>
    <row r="52" spans="2:11" ht="13.5" thickBot="1">
      <c r="B52" s="84" t="str">
        <f>Inputs!B82</f>
        <v>Other</v>
      </c>
      <c r="C52" s="66"/>
      <c r="D52" s="108"/>
      <c r="E52" s="217">
        <f>VLOOKUP(B52,Overhead,7,FALSE)*Inputs!F82</f>
        <v>0.44999999999999996</v>
      </c>
      <c r="F52" s="85"/>
      <c r="G52" s="121"/>
      <c r="H52" s="75">
        <f>E52*Inputs!D82</f>
        <v>44.999999999999993</v>
      </c>
      <c r="I52" s="140">
        <f t="shared" si="0"/>
        <v>0.65217391304347816</v>
      </c>
    </row>
    <row r="53" spans="2:11" ht="14.25" thickTop="1" thickBot="1">
      <c r="B53" s="88"/>
      <c r="C53" s="69"/>
      <c r="D53" s="89"/>
      <c r="E53" s="89"/>
      <c r="F53" s="134"/>
      <c r="G53" s="319" t="s">
        <v>49</v>
      </c>
      <c r="H53" s="157">
        <f>SUM(H48:H52)</f>
        <v>330</v>
      </c>
      <c r="I53" s="152">
        <f>SUM(I48:I52)</f>
        <v>4.7826086956521738</v>
      </c>
      <c r="K53" s="308"/>
    </row>
    <row r="54" spans="2:11" ht="13.5" thickBot="1">
      <c r="B54" s="163">
        <v>217480.06701030929</v>
      </c>
      <c r="C54" s="159"/>
      <c r="D54" s="78"/>
      <c r="E54" s="78"/>
      <c r="F54" s="78"/>
      <c r="G54" s="57" t="s">
        <v>166</v>
      </c>
      <c r="H54" s="207">
        <f>H45+H53</f>
        <v>605</v>
      </c>
      <c r="I54" s="206">
        <f>I45+I53</f>
        <v>8.7681159420289845</v>
      </c>
      <c r="J54" s="331"/>
    </row>
    <row r="55" spans="2:11" ht="13.5" thickBot="1">
      <c r="B55" s="161"/>
      <c r="C55" s="159"/>
      <c r="D55" s="107"/>
      <c r="E55" s="107"/>
      <c r="F55" s="107"/>
      <c r="G55" s="57" t="s">
        <v>167</v>
      </c>
      <c r="H55" s="207">
        <f>H35+H54</f>
        <v>5760.9281680547947</v>
      </c>
      <c r="I55" s="206">
        <f>I35+I54</f>
        <v>83.491712580504256</v>
      </c>
    </row>
    <row r="56" spans="2:11" ht="13.5" thickBot="1">
      <c r="B56" s="161"/>
      <c r="C56" s="159"/>
      <c r="D56" s="107"/>
      <c r="E56" s="107"/>
      <c r="F56" s="107"/>
      <c r="G56" s="57" t="s">
        <v>168</v>
      </c>
      <c r="H56" s="207">
        <f>H6-H55</f>
        <v>3036.5718319452053</v>
      </c>
      <c r="I56" s="206">
        <f>I6-I55</f>
        <v>44.008287419495744</v>
      </c>
    </row>
    <row r="57" spans="2:11" ht="13.5" thickBot="1">
      <c r="B57" s="85"/>
      <c r="C57" s="85"/>
      <c r="D57" s="85"/>
      <c r="E57" s="85"/>
      <c r="F57" s="79"/>
      <c r="G57" s="79"/>
      <c r="H57" s="79"/>
      <c r="I57" s="79"/>
    </row>
    <row r="58" spans="2:11" ht="26.25" thickBot="1">
      <c r="B58" s="77" t="s">
        <v>170</v>
      </c>
      <c r="C58" s="178"/>
      <c r="D58" s="179"/>
      <c r="E58" s="179"/>
      <c r="F58" s="179"/>
      <c r="G58" s="179"/>
      <c r="H58" s="178" t="s">
        <v>145</v>
      </c>
      <c r="I58" s="212" t="s">
        <v>147</v>
      </c>
    </row>
    <row r="59" spans="2:11" ht="25.5">
      <c r="B59" s="117"/>
      <c r="C59" s="135"/>
      <c r="D59" s="109" t="s">
        <v>54</v>
      </c>
      <c r="E59" s="364" t="s">
        <v>66</v>
      </c>
      <c r="F59" s="109"/>
      <c r="G59" s="336"/>
      <c r="H59" s="350" t="s">
        <v>37</v>
      </c>
      <c r="I59" s="110" t="s">
        <v>37</v>
      </c>
    </row>
    <row r="60" spans="2:11">
      <c r="B60" s="63" t="s">
        <v>169</v>
      </c>
      <c r="C60" s="66"/>
      <c r="D60" s="74"/>
      <c r="E60" s="94">
        <f>Inputs!D77*Inputs!H77*Inputs!D74*Inputs!F77</f>
        <v>67.5</v>
      </c>
      <c r="F60" s="74"/>
      <c r="G60" s="122"/>
      <c r="H60" s="153">
        <f>SUM(D60:F60)</f>
        <v>67.5</v>
      </c>
      <c r="I60" s="204">
        <f t="shared" ref="I60:I66" si="8">IF(B60="","",IF($C$4=0,"",H60/$C$4))</f>
        <v>0.97826086956521741</v>
      </c>
    </row>
    <row r="61" spans="2:11">
      <c r="B61" s="84" t="s">
        <v>18</v>
      </c>
      <c r="C61" s="66"/>
      <c r="D61" s="94">
        <f>IF($C$4=0,0,IF(B61="","",(VLOOKUP(B61,Depreciable,2,FALSE)-VLOOKUP(B61,Depreciable,3,FALSE))/VLOOKUP(B61,Depreciable,4,FALSE)*IF(VLOOKUP(B61,Depreciable,7,FALSE)="",$H$6/($H$6+Herd!$H$7),VLOOKUP(B61,Depreciable,7,FALSE))))</f>
        <v>100</v>
      </c>
      <c r="E61" s="94">
        <f>IF(B61="","",VLOOKUP(B61,Depreciable,2,FALSE)*Inputs!$D$74*IF(VLOOKUP(B61,Depreciable,7,FALSE)="",'Finish Kids'!$H$6/('Finish Kids'!$H$6+Herd!$H$7),VLOOKUP(B61,Depreciable,7,FALSE)))</f>
        <v>90</v>
      </c>
      <c r="F61" s="94"/>
      <c r="G61" s="153"/>
      <c r="H61" s="153">
        <f>SUM(D61:F61)</f>
        <v>190</v>
      </c>
      <c r="I61" s="204">
        <f t="shared" si="8"/>
        <v>2.7536231884057969</v>
      </c>
    </row>
    <row r="62" spans="2:11">
      <c r="B62" s="84" t="s">
        <v>155</v>
      </c>
      <c r="C62" s="66"/>
      <c r="D62" s="94">
        <f>IF($H$6=0,0,IF(B62="","",(VLOOKUP(B62,Depreciable,2,FALSE)-VLOOKUP(B62,Depreciable,3,FALSE))/VLOOKUP(B62,Depreciable,4,FALSE)*IF(VLOOKUP(B62,Depreciable,7,FALSE)="",$H$6/($H$6+Herd!$H$7),VLOOKUP(B62,Depreciable,7,FALSE))))</f>
        <v>133.33333333333334</v>
      </c>
      <c r="E62" s="94">
        <f>IF(B62="","",VLOOKUP(B62,Depreciable,2,FALSE)*Inputs!$D$74*IF(VLOOKUP(B62,Depreciable,7,FALSE)="",'Finish Kids'!$H$6/('Finish Kids'!$H$6+Herd!$H$7),VLOOKUP(B62,Depreciable,7,FALSE)))</f>
        <v>24</v>
      </c>
      <c r="F62" s="94"/>
      <c r="G62" s="153"/>
      <c r="H62" s="153">
        <f t="shared" ref="H62:H66" si="9">SUM(D62:F62)</f>
        <v>157.33333333333334</v>
      </c>
      <c r="I62" s="204">
        <f t="shared" si="8"/>
        <v>2.2801932367149762</v>
      </c>
    </row>
    <row r="63" spans="2:11">
      <c r="B63" s="344"/>
      <c r="C63" s="85"/>
      <c r="D63" s="94" t="str">
        <f>IF(B63="","",(VLOOKUP(B63,Depreciable,2,FALSE)-VLOOKUP(B63,Depreciable,3,FALSE))/VLOOKUP(B63,Depreciable,4,FALSE)*IF(VLOOKUP(B63,Depreciable,7,FALSE)="",$H$6/($H$6+Herd!$H$7),VLOOKUP(B63,Depreciable,7,FALSE)))</f>
        <v/>
      </c>
      <c r="E63" s="94" t="str">
        <f>IF(B63="","",VLOOKUP(B63,Depreciable,2,FALSE)*Inputs!$D$74*IF(VLOOKUP(B63,Depreciable,7,FALSE)="",'Finish Kids'!$H$6/('Finish Kids'!$H$6+Herd!$H$7),VLOOKUP(B63,Depreciable,7,FALSE)))</f>
        <v/>
      </c>
      <c r="F63" s="94"/>
      <c r="G63" s="153"/>
      <c r="H63" s="153">
        <f t="shared" si="9"/>
        <v>0</v>
      </c>
      <c r="I63" s="204" t="str">
        <f t="shared" si="8"/>
        <v/>
      </c>
    </row>
    <row r="64" spans="2:11">
      <c r="B64" s="344"/>
      <c r="C64" s="85"/>
      <c r="D64" s="94" t="str">
        <f>IF(B64="","",(VLOOKUP(B64,Depreciable,2,FALSE)-VLOOKUP(B64,Depreciable,3,FALSE))/VLOOKUP(B64,Depreciable,4,FALSE)*IF(VLOOKUP(B64,Depreciable,7,FALSE)="",$H$6/($H$6+Herd!$H$7),VLOOKUP(B64,Depreciable,7,FALSE)))</f>
        <v/>
      </c>
      <c r="E64" s="94" t="str">
        <f>IF(B64="","",VLOOKUP(B64,Depreciable,2,FALSE)*Inputs!$D$74*IF(VLOOKUP(B64,Depreciable,7,FALSE)="",'Finish Kids'!$H$6/('Finish Kids'!$H$6+Herd!$H$7),VLOOKUP(B64,Depreciable,7,FALSE)))</f>
        <v/>
      </c>
      <c r="F64" s="94"/>
      <c r="G64" s="153"/>
      <c r="H64" s="153">
        <f t="shared" si="9"/>
        <v>0</v>
      </c>
      <c r="I64" s="204" t="str">
        <f t="shared" si="8"/>
        <v/>
      </c>
    </row>
    <row r="65" spans="2:9">
      <c r="B65" s="344"/>
      <c r="C65" s="85"/>
      <c r="D65" s="94" t="str">
        <f>IF(B65="","",(VLOOKUP(B65,Depreciable,2,FALSE)-VLOOKUP(B65,Depreciable,3,FALSE))/VLOOKUP(B65,Depreciable,4,FALSE)*IF(VLOOKUP(B65,Depreciable,7,FALSE)="",$H$6/($H$6+Herd!$H$7),VLOOKUP(B65,Depreciable,7,FALSE)))</f>
        <v/>
      </c>
      <c r="E65" s="94" t="str">
        <f>IF(B65="","",VLOOKUP(B65,Depreciable,2,FALSE)*Inputs!$D$74*IF(VLOOKUP(B65,Depreciable,7,FALSE)="",'Finish Kids'!$H$6/('Finish Kids'!$H$6+Herd!$H$7),VLOOKUP(B65,Depreciable,7,FALSE)))</f>
        <v/>
      </c>
      <c r="F65" s="94"/>
      <c r="G65" s="153"/>
      <c r="H65" s="153">
        <f t="shared" si="9"/>
        <v>0</v>
      </c>
      <c r="I65" s="204" t="str">
        <f t="shared" si="8"/>
        <v/>
      </c>
    </row>
    <row r="66" spans="2:9" ht="13.5" thickBot="1">
      <c r="B66" s="344"/>
      <c r="C66" s="85"/>
      <c r="D66" s="94" t="str">
        <f>IF(B66="","",(VLOOKUP(B66,Depreciable,2,FALSE)-VLOOKUP(B66,Depreciable,3,FALSE))/VLOOKUP(B66,Depreciable,4,FALSE)*IF(VLOOKUP(B66,Depreciable,7,FALSE)="",$H$6/($H$6+Herd!$H$7),VLOOKUP(B66,Depreciable,7,FALSE)))</f>
        <v/>
      </c>
      <c r="E66" s="94" t="str">
        <f>IF(B66="","",VLOOKUP(B66,Depreciable,2,FALSE)*Inputs!$D$74*IF(VLOOKUP(B66,Depreciable,7,FALSE)="",'Finish Kids'!$H$6/('Finish Kids'!$H$6+Herd!$H$7),VLOOKUP(B66,Depreciable,7,FALSE)))</f>
        <v/>
      </c>
      <c r="F66" s="94" t="str">
        <f>IF(B66="","",VLOOKUP(B66,Depreciable,5,FALSE)*IF(VLOOKUP(B66,Depreciable,7,FALSE)="",$H$6/($H$6+Herd!$H$7),VLOOKUP(B66,Depreciable,7,FALSE)))</f>
        <v/>
      </c>
      <c r="G66" s="153"/>
      <c r="H66" s="75">
        <f t="shared" si="9"/>
        <v>0</v>
      </c>
      <c r="I66" s="205" t="str">
        <f t="shared" si="8"/>
        <v/>
      </c>
    </row>
    <row r="67" spans="2:9" ht="14.25" thickTop="1" thickBot="1">
      <c r="B67" s="163">
        <v>217480.06701030929</v>
      </c>
      <c r="C67" s="159"/>
      <c r="D67" s="78"/>
      <c r="E67" s="78"/>
      <c r="F67" s="78"/>
      <c r="G67" s="57" t="s">
        <v>171</v>
      </c>
      <c r="H67" s="207">
        <f>SUM(H60:H66)</f>
        <v>414.83333333333337</v>
      </c>
      <c r="I67" s="206">
        <f>SUM(I60:I66)</f>
        <v>6.0120772946859908</v>
      </c>
    </row>
    <row r="68" spans="2:9" ht="13.5" thickBot="1">
      <c r="B68" s="161"/>
      <c r="C68" s="159"/>
      <c r="D68" s="107"/>
      <c r="E68" s="107"/>
      <c r="F68" s="107"/>
      <c r="G68" s="57" t="s">
        <v>97</v>
      </c>
      <c r="H68" s="207">
        <f>H55+H67</f>
        <v>6175.7615013881277</v>
      </c>
      <c r="I68" s="206">
        <f>I55+I67</f>
        <v>89.50378987519025</v>
      </c>
    </row>
    <row r="69" spans="2:9" ht="13.5" thickBot="1">
      <c r="B69" s="161"/>
      <c r="C69" s="159"/>
      <c r="D69" s="107"/>
      <c r="E69" s="107"/>
      <c r="F69" s="107"/>
      <c r="G69" s="57" t="s">
        <v>51</v>
      </c>
      <c r="H69" s="207">
        <f>H6-H68</f>
        <v>2621.7384986118723</v>
      </c>
      <c r="I69" s="206">
        <f>I6-I68</f>
        <v>37.99621012480975</v>
      </c>
    </row>
  </sheetData>
  <sheetProtection sheet="1" objects="1" scenarios="1"/>
  <mergeCells count="4">
    <mergeCell ref="L13:L15"/>
    <mergeCell ref="C14:C15"/>
    <mergeCell ref="E14:E15"/>
    <mergeCell ref="C1:H1"/>
  </mergeCells>
  <dataValidations count="4">
    <dataValidation type="list" allowBlank="1" showInputMessage="1" showErrorMessage="1" sqref="B63:B66 B41:B44">
      <formula1>$U$40:$U$44</formula1>
    </dataValidation>
    <dataValidation type="list" allowBlank="1" showInputMessage="1" showErrorMessage="1" sqref="E16:E21">
      <formula1>$K$16:$K$18</formula1>
    </dataValidation>
    <dataValidation type="list" allowBlank="1" showInputMessage="1" showErrorMessage="1" sqref="B16:B21">
      <formula1>$U$13:$U$24</formula1>
    </dataValidation>
    <dataValidation type="list" allowBlank="1" showInputMessage="1" showErrorMessage="1" sqref="B29:B32">
      <formula1>$U$28:$U$34</formula1>
    </dataValidation>
  </dataValidations>
  <printOptions horizontalCentered="1"/>
  <pageMargins left="0.25" right="0.25" top="0.75" bottom="0.75" header="0.3" footer="0.3"/>
  <pageSetup scale="71" orientation="portrait" r:id="rId1"/>
  <drawing r:id="rId2"/>
</worksheet>
</file>

<file path=xl/worksheets/sheet7.xml><?xml version="1.0" encoding="utf-8"?>
<worksheet xmlns="http://schemas.openxmlformats.org/spreadsheetml/2006/main" xmlns:r="http://schemas.openxmlformats.org/officeDocument/2006/relationships">
  <sheetPr codeName="Sheet4">
    <pageSetUpPr fitToPage="1"/>
  </sheetPr>
  <dimension ref="B1:Z88"/>
  <sheetViews>
    <sheetView showZeros="0" workbookViewId="0"/>
  </sheetViews>
  <sheetFormatPr defaultRowHeight="12.75"/>
  <cols>
    <col min="1" max="1" width="5" style="282" customWidth="1"/>
    <col min="2" max="2" width="26.7109375" style="282" customWidth="1"/>
    <col min="3" max="4" width="10.5703125" style="282" customWidth="1"/>
    <col min="5" max="6" width="9.140625" style="282"/>
    <col min="7" max="7" width="11.42578125" style="282" customWidth="1"/>
    <col min="8" max="8" width="11.5703125" style="282" customWidth="1"/>
    <col min="9" max="9" width="4.42578125" style="302" customWidth="1"/>
    <col min="10" max="26" width="9.140625" style="302"/>
    <col min="27" max="16384" width="9.140625" style="282"/>
  </cols>
  <sheetData>
    <row r="1" spans="2:11" ht="18.75" thickBot="1">
      <c r="B1" s="103" t="s">
        <v>141</v>
      </c>
      <c r="C1" s="166"/>
      <c r="D1" s="166"/>
      <c r="E1" s="166"/>
      <c r="F1" s="166"/>
      <c r="G1" s="166"/>
      <c r="H1" s="139"/>
    </row>
    <row r="2" spans="2:11" ht="26.25" thickBot="1">
      <c r="B2" s="106" t="s">
        <v>35</v>
      </c>
      <c r="C2" s="178"/>
      <c r="D2" s="179"/>
      <c r="E2" s="179"/>
      <c r="F2" s="179"/>
      <c r="G2" s="203" t="s">
        <v>149</v>
      </c>
      <c r="H2" s="212" t="s">
        <v>147</v>
      </c>
    </row>
    <row r="3" spans="2:11">
      <c r="B3" s="111"/>
      <c r="C3" s="71" t="s">
        <v>52</v>
      </c>
      <c r="D3" s="109" t="s">
        <v>36</v>
      </c>
      <c r="E3" s="109" t="s">
        <v>4</v>
      </c>
      <c r="F3" s="109"/>
      <c r="G3" s="112" t="s">
        <v>37</v>
      </c>
      <c r="H3" s="146" t="s">
        <v>37</v>
      </c>
      <c r="K3" s="303"/>
    </row>
    <row r="4" spans="2:11">
      <c r="B4" s="84" t="s">
        <v>174</v>
      </c>
      <c r="C4" s="116">
        <f>IF(Inputs!F20&gt;Inputs!F15,Inputs!F20-Inputs!F15,0)</f>
        <v>0</v>
      </c>
      <c r="D4" s="87">
        <f>IF(C4&gt;0,Inputs!$F$16,0)</f>
        <v>0</v>
      </c>
      <c r="E4" s="87">
        <f>IF(C4&gt;0,Inputs!F17,0)</f>
        <v>0</v>
      </c>
      <c r="F4" s="74"/>
      <c r="G4" s="180">
        <f>C4*D4*E4</f>
        <v>0</v>
      </c>
      <c r="H4" s="96">
        <f>IF($C$4+$C$5=0,0,IF(G4="","",G4/($C$4+$C$5)))</f>
        <v>0</v>
      </c>
      <c r="K4" s="303"/>
    </row>
    <row r="5" spans="2:11">
      <c r="B5" s="84" t="s">
        <v>142</v>
      </c>
      <c r="C5" s="116">
        <f>'Finish Kids'!C4</f>
        <v>69</v>
      </c>
      <c r="D5" s="87">
        <f>'Finish Kids'!D4</f>
        <v>75</v>
      </c>
      <c r="E5" s="87">
        <f>'Finish Kids'!E4</f>
        <v>1.7</v>
      </c>
      <c r="F5" s="85" t="str">
        <f>'Finish Kids'!F4</f>
        <v>$ / lb</v>
      </c>
      <c r="G5" s="180">
        <f>C5*D5*E5</f>
        <v>8797.5</v>
      </c>
      <c r="H5" s="96">
        <f t="shared" ref="H5:H6" si="0">IF($C$4+$C$5=0,0,IF(G5="","",G5/($C$4+$C$5)))</f>
        <v>127.5</v>
      </c>
    </row>
    <row r="6" spans="2:11">
      <c r="B6" s="84" t="s">
        <v>133</v>
      </c>
      <c r="C6" s="116">
        <f>Inputs!F4</f>
        <v>5</v>
      </c>
      <c r="D6" s="87">
        <f>Inputs!F8</f>
        <v>120</v>
      </c>
      <c r="E6" s="87">
        <f>Inputs!F9</f>
        <v>65</v>
      </c>
      <c r="F6" s="85" t="str">
        <f>Inputs!G9</f>
        <v>$ / head</v>
      </c>
      <c r="G6" s="180">
        <f>C6*E6</f>
        <v>325</v>
      </c>
      <c r="H6" s="96">
        <f t="shared" si="0"/>
        <v>4.7101449275362315</v>
      </c>
    </row>
    <row r="7" spans="2:11" ht="13.5" thickBot="1">
      <c r="B7" s="84" t="s">
        <v>138</v>
      </c>
      <c r="C7" s="208">
        <f>Bucks!C5</f>
        <v>0.4</v>
      </c>
      <c r="D7" s="85"/>
      <c r="E7" s="87">
        <f>Bucks!E5</f>
        <v>100</v>
      </c>
      <c r="F7" s="85" t="str">
        <f>Inputs!G14</f>
        <v>per head</v>
      </c>
      <c r="G7" s="180">
        <f>C7*E7</f>
        <v>40</v>
      </c>
      <c r="H7" s="96">
        <f>IF($C$4+$C$5=0,0,IF(G7="","",G7/($C$4+$C$5)))</f>
        <v>0.57971014492753625</v>
      </c>
    </row>
    <row r="8" spans="2:11" ht="16.5" thickBot="1">
      <c r="B8" s="106"/>
      <c r="C8" s="78"/>
      <c r="D8" s="73"/>
      <c r="E8" s="73"/>
      <c r="F8" s="57" t="s">
        <v>38</v>
      </c>
      <c r="G8" s="223">
        <f>SUM(G5:G7)</f>
        <v>9162.5</v>
      </c>
      <c r="H8" s="224">
        <f>SUM(H5:H7)</f>
        <v>132.78985507246375</v>
      </c>
    </row>
    <row r="9" spans="2:11" ht="13.5" thickBot="1">
      <c r="B9" s="104"/>
      <c r="C9" s="79"/>
      <c r="D9" s="79"/>
      <c r="E9" s="79"/>
      <c r="F9" s="79"/>
      <c r="G9" s="79"/>
      <c r="H9" s="165"/>
    </row>
    <row r="10" spans="2:11" ht="26.25" thickBot="1">
      <c r="B10" s="106" t="s">
        <v>39</v>
      </c>
      <c r="C10" s="178"/>
      <c r="D10" s="179"/>
      <c r="E10" s="179"/>
      <c r="F10" s="179"/>
      <c r="G10" s="203" t="s">
        <v>149</v>
      </c>
      <c r="H10" s="212" t="s">
        <v>147</v>
      </c>
    </row>
    <row r="11" spans="2:11">
      <c r="B11" s="117" t="s">
        <v>90</v>
      </c>
      <c r="C11" s="71" t="s">
        <v>52</v>
      </c>
      <c r="D11" s="109" t="s">
        <v>36</v>
      </c>
      <c r="E11" s="109" t="s">
        <v>4</v>
      </c>
      <c r="F11" s="81"/>
      <c r="G11" s="112" t="s">
        <v>37</v>
      </c>
      <c r="H11" s="146" t="s">
        <v>37</v>
      </c>
    </row>
    <row r="12" spans="2:11">
      <c r="B12" s="84" t="s">
        <v>103</v>
      </c>
      <c r="C12" s="113">
        <f>Herd!C12</f>
        <v>0</v>
      </c>
      <c r="D12" s="85"/>
      <c r="E12" s="85">
        <f>Inputs!F7</f>
        <v>75</v>
      </c>
      <c r="F12" s="85" t="s">
        <v>40</v>
      </c>
      <c r="G12" s="254">
        <f>C12*E12</f>
        <v>0</v>
      </c>
      <c r="H12" s="246">
        <f>IF(Inputs!$F$25=0,0,IF(G12="","",G12/Inputs!$F$25))</f>
        <v>0</v>
      </c>
    </row>
    <row r="13" spans="2:11">
      <c r="B13" s="84" t="s">
        <v>134</v>
      </c>
      <c r="C13" s="114">
        <f>IF(Inputs!F12=0,0,Inputs!F10/Inputs!F12*(1-Inputs!F13))</f>
        <v>0.39200000000000002</v>
      </c>
      <c r="D13" s="85"/>
      <c r="E13" s="85">
        <f>Inputs!F11</f>
        <v>150</v>
      </c>
      <c r="F13" s="85" t="s">
        <v>40</v>
      </c>
      <c r="G13" s="254">
        <f>C13*E13</f>
        <v>58.800000000000004</v>
      </c>
      <c r="H13" s="96">
        <f t="shared" ref="H13:H14" si="1">IF($C$4+$C$5=0,0,IF(G13="","",G13/($C$4+$C$5)))</f>
        <v>0.85217391304347834</v>
      </c>
    </row>
    <row r="14" spans="2:11" ht="13.5" thickBot="1">
      <c r="B14" s="84" t="s">
        <v>150</v>
      </c>
      <c r="C14" s="158">
        <f>Inputs!F21</f>
        <v>25</v>
      </c>
      <c r="D14" s="85">
        <f>Inputs!F23</f>
        <v>45</v>
      </c>
      <c r="E14" s="87">
        <f>Inputs!F22</f>
        <v>1.45</v>
      </c>
      <c r="F14" s="85" t="s">
        <v>153</v>
      </c>
      <c r="G14" s="255">
        <f>C14*E14*D14</f>
        <v>1631.25</v>
      </c>
      <c r="H14" s="376">
        <f t="shared" si="1"/>
        <v>23.641304347826086</v>
      </c>
    </row>
    <row r="15" spans="2:11" ht="13.5" thickTop="1">
      <c r="B15" s="63"/>
      <c r="C15" s="158"/>
      <c r="D15" s="85"/>
      <c r="E15" s="108"/>
      <c r="F15" s="332" t="s">
        <v>68</v>
      </c>
      <c r="G15" s="354">
        <f>SUM(G12:G14)</f>
        <v>1690.05</v>
      </c>
      <c r="H15" s="246">
        <f>SUM(H12:H14)</f>
        <v>24.493478260869566</v>
      </c>
    </row>
    <row r="16" spans="2:11" ht="12.75" customHeight="1">
      <c r="B16" s="84"/>
      <c r="C16" s="411" t="s">
        <v>67</v>
      </c>
      <c r="D16" s="93"/>
      <c r="E16" s="85"/>
      <c r="F16" s="121"/>
      <c r="G16" s="355"/>
      <c r="H16" s="247"/>
    </row>
    <row r="17" spans="2:11" ht="14.25" customHeight="1">
      <c r="B17" s="118" t="s">
        <v>6</v>
      </c>
      <c r="C17" s="411"/>
      <c r="D17" s="85"/>
      <c r="E17" s="74" t="s">
        <v>4</v>
      </c>
      <c r="F17" s="121"/>
      <c r="G17" s="356" t="s">
        <v>37</v>
      </c>
      <c r="H17" s="359" t="s">
        <v>37</v>
      </c>
    </row>
    <row r="18" spans="2:11" ht="12.75" customHeight="1">
      <c r="B18" s="84" t="str">
        <f>IF(Inputs!B31="","",Inputs!B31)</f>
        <v>Native Pasture - Does</v>
      </c>
      <c r="C18" s="245">
        <f>IFERROR(VLOOKUP(B18,FlockFeed,2,FALSE)*IF(VLOOKUP(B18,FlockFeed,4,FALSE)="per animal",Inputs!$F$3,1),0)+IFERROR(VLOOKUP(B18,RamsFeed,2,FALSE)*IF(VLOOKUP(B18,RamsFeed,4,FALSE)="per animal",Inputs!$F$10,1),0)+IFERROR(VLOOKUP(B18,FinishFeed,2,FALSE)*IF(VLOOKUP(B18,FinishFeed,4,FALSE)="per animal",('Finish Kids'!$C$10+'Finish Kids'!$C$11+'Finish Kids'!$C$4)/2,1),0)+IFERROR(VLOOKUP(B18,ReplacementFeed,2,FALSE)*IF(VLOOKUP(B18,ReplacementFeed,4,FALSE)="per animal",Inputs!$F$10,1),0)</f>
        <v>120</v>
      </c>
      <c r="D18" s="85" t="str">
        <f t="shared" ref="D18:D27" si="2">IFERROR(VLOOKUP(B18,Feed, 4,FALSE)&amp;"s  @","")</f>
        <v>months  @</v>
      </c>
      <c r="E18" s="87" t="str">
        <f t="shared" ref="E18:E27" si="3">IF(B18="","",VLOOKUP($B18,Feed,6,FALSE))</f>
        <v/>
      </c>
      <c r="F18" s="121" t="str">
        <f t="shared" ref="F18:F27" si="4">IF(B18="","",CONCATENATE("per ",VLOOKUP(B18,Feed,4,FALSE)))</f>
        <v>per month</v>
      </c>
      <c r="G18" s="254">
        <f t="shared" ref="G18:G25" si="5">IF(B18="","",IFERROR(C18*E18,0))</f>
        <v>0</v>
      </c>
      <c r="H18" s="246">
        <f>IF(G18="","",G18/Inputs!$F$25)</f>
        <v>0</v>
      </c>
    </row>
    <row r="19" spans="2:11" ht="14.25" customHeight="1">
      <c r="B19" s="84" t="str">
        <f>IF(Inputs!B32="","",Inputs!B32)</f>
        <v>Prairie Hay</v>
      </c>
      <c r="C19" s="245">
        <f>IFERROR(VLOOKUP(B19,FlockFeed,2,FALSE)*IF(VLOOKUP(B19,FlockFeed,4,FALSE)="per animal",Inputs!$F$3,1),0)+IFERROR(VLOOKUP(B19,RamsFeed,2,FALSE)*IF(VLOOKUP(B19,RamsFeed,4,FALSE)="per animal",Inputs!$F$10,1),0)+IFERROR(VLOOKUP(B19,FinishFeed,2,FALSE)*IF(VLOOKUP(B19,FinishFeed,4,FALSE)="per animal",('Finish Kids'!$C$10+'Finish Kids'!$C$11+'Finish Kids'!$C$4)/2,1),0)+IFERROR(VLOOKUP(B19,ReplacementFeed,2,FALSE)*IF(VLOOKUP(B19,ReplacementFeed,4,FALSE)="per animal",Inputs!$F$4+Inputs!$F$5,1),0)</f>
        <v>11880</v>
      </c>
      <c r="D19" s="85" t="str">
        <f t="shared" si="2"/>
        <v>lbs  @</v>
      </c>
      <c r="E19" s="87">
        <f t="shared" si="3"/>
        <v>3.3333333333333333E-2</v>
      </c>
      <c r="F19" s="121" t="str">
        <f t="shared" si="4"/>
        <v>per lb</v>
      </c>
      <c r="G19" s="254">
        <f>IF(B19="","",IFERROR(C19*E19,0))</f>
        <v>396</v>
      </c>
      <c r="H19" s="96">
        <f t="shared" ref="H19:H27" si="6">IF($C$4+$C$5=0,0,IF(G19="","",G19/($C$4+$C$5)))</f>
        <v>5.7391304347826084</v>
      </c>
      <c r="J19" s="303"/>
    </row>
    <row r="20" spans="2:11">
      <c r="B20" s="84" t="str">
        <f>IF(Inputs!B33="","",Inputs!B33)</f>
        <v>Alfalfa Hay</v>
      </c>
      <c r="C20" s="245">
        <f>IFERROR(VLOOKUP(B20,FlockFeed,2,FALSE)*IF(VLOOKUP(B20,FlockFeed,4,FALSE)="per animal",Inputs!$F$3,1),0)+IFERROR(VLOOKUP(B20,RamsFeed,2,FALSE)*IF(VLOOKUP(B20,RamsFeed,4,FALSE)="per animal",Inputs!$F$10,1),0)+IFERROR(VLOOKUP(B20,FinishFeed,2,FALSE)*IF(VLOOKUP(B20,FinishFeed,4,FALSE)="per animal",('Finish Kids'!$C$10+'Finish Kids'!$C$11+'Finish Kids'!$C$4)/2,1),0)+IFERROR(VLOOKUP(B20,ReplacementFeed,2,FALSE)*IF(VLOOKUP(B20,ReplacementFeed,4,FALSE)="per animal",Inputs!$F$4+Inputs!$F$5,1),0)</f>
        <v>12168</v>
      </c>
      <c r="D20" s="85" t="str">
        <f t="shared" si="2"/>
        <v>lbs  @</v>
      </c>
      <c r="E20" s="87">
        <f t="shared" si="3"/>
        <v>0.04</v>
      </c>
      <c r="F20" s="121" t="str">
        <f t="shared" si="4"/>
        <v>per lb</v>
      </c>
      <c r="G20" s="254">
        <f>IF(B20="","",IFERROR(C20*E20,0))</f>
        <v>486.72</v>
      </c>
      <c r="H20" s="96">
        <f t="shared" si="6"/>
        <v>7.0539130434782615</v>
      </c>
      <c r="J20" s="303"/>
    </row>
    <row r="21" spans="2:11">
      <c r="B21" s="84" t="str">
        <f>IF(Inputs!B34="","",Inputs!B34)</f>
        <v>Creep Feed</v>
      </c>
      <c r="C21" s="245">
        <f>IFERROR(VLOOKUP(B21,FlockFeed,2,FALSE)*IF(VLOOKUP(B21,FlockFeed,4,FALSE)="per animal",Inputs!$F$3,1),0)+IFERROR(VLOOKUP(B21,RamsFeed,2,FALSE)*IF(VLOOKUP(B21,RamsFeed,4,FALSE)="per animal",Inputs!$F$10,1),0)+IFERROR(VLOOKUP(B21,FinishFeed,2,FALSE)*IF(VLOOKUP(B21,FinishFeed,4,FALSE)="per animal",('Finish Kids'!$C$10+'Finish Kids'!$C$11+'Finish Kids'!$C$4)/2,1),0)+IFERROR(VLOOKUP(B21,ReplacementFeed,2,FALSE)*IF(VLOOKUP(B21,ReplacementFeed,4,FALSE)="per animal",Inputs!$F$4+Inputs!$F$5,1),0)</f>
        <v>948.38</v>
      </c>
      <c r="D21" s="85" t="str">
        <f t="shared" si="2"/>
        <v>lbs  @</v>
      </c>
      <c r="E21" s="87">
        <f t="shared" si="3"/>
        <v>0.22</v>
      </c>
      <c r="F21" s="121" t="str">
        <f t="shared" si="4"/>
        <v>per lb</v>
      </c>
      <c r="G21" s="254">
        <f>IF(B21="","",IFERROR(C21*E21,0))</f>
        <v>208.64359999999999</v>
      </c>
      <c r="H21" s="96">
        <f t="shared" si="6"/>
        <v>3.0238202898550726</v>
      </c>
      <c r="J21" s="303"/>
    </row>
    <row r="22" spans="2:11">
      <c r="B22" s="84" t="str">
        <f>IF(Inputs!B35="","",Inputs!B35)</f>
        <v>Mineral Mix</v>
      </c>
      <c r="C22" s="245">
        <f>IFERROR(VLOOKUP(B22,FlockFeed,2,FALSE)*IF(VLOOKUP(B22,FlockFeed,4,FALSE)="per animal",Inputs!$F$3,1),0)+IFERROR(VLOOKUP(B22,RamsFeed,2,FALSE)*IF(VLOOKUP(B22,RamsFeed,4,FALSE)="per animal",Inputs!$F$10,1),0)+IFERROR(VLOOKUP(B22,FinishFeed,2,FALSE)*IF(VLOOKUP(B22,FinishFeed,4,FALSE)="per animal",('Finish Kids'!$C$10+'Finish Kids'!$C$11+'Finish Kids'!$C$4)/2,1),0)+IFERROR(VLOOKUP(B22,ReplacementFeed,2,FALSE)*IF(VLOOKUP(B22,ReplacementFeed,4,FALSE)="per animal",Inputs!$F$4+Inputs!$F$5,1),0)</f>
        <v>402</v>
      </c>
      <c r="D22" s="85" t="str">
        <f t="shared" si="2"/>
        <v>lbs  @</v>
      </c>
      <c r="E22" s="87">
        <f t="shared" si="3"/>
        <v>0.63</v>
      </c>
      <c r="F22" s="121" t="str">
        <f t="shared" si="4"/>
        <v>per lb</v>
      </c>
      <c r="G22" s="254">
        <f>IF(B22="","",IFERROR(C22*E22,0))</f>
        <v>253.26</v>
      </c>
      <c r="H22" s="96">
        <f t="shared" si="6"/>
        <v>3.6704347826086954</v>
      </c>
      <c r="J22" s="303"/>
    </row>
    <row r="23" spans="2:11">
      <c r="B23" s="84" t="str">
        <f>IF(Inputs!B36="","",Inputs!B36)</f>
        <v>Corn</v>
      </c>
      <c r="C23" s="245">
        <f>IFERROR(VLOOKUP(B23,FlockFeed,2,FALSE)*IF(VLOOKUP(B23,FlockFeed,4,FALSE)="per animal",Inputs!$F$3,1),0)+IFERROR(VLOOKUP(B23,RamsFeed,2,FALSE)*IF(VLOOKUP(B23,RamsFeed,4,FALSE)="per animal",Inputs!$F$10,1),0)+IFERROR(VLOOKUP(B23,FinishFeed,2,FALSE)*IF(VLOOKUP(B23,FinishFeed,4,FALSE)="per animal",('Finish Kids'!$C$10+'Finish Kids'!$C$11+'Finish Kids'!$C$4)/2,1),0)+IFERROR(VLOOKUP(B23,ReplacementFeed,2,FALSE)*IF(VLOOKUP(B23,ReplacementFeed,4,FALSE)="per animal",Inputs!$F$4+Inputs!$F$5,1),0)</f>
        <v>232</v>
      </c>
      <c r="D23" s="85" t="str">
        <f t="shared" si="2"/>
        <v>bus  @</v>
      </c>
      <c r="E23" s="87">
        <f t="shared" si="3"/>
        <v>3.45</v>
      </c>
      <c r="F23" s="121" t="str">
        <f t="shared" si="4"/>
        <v>per bu</v>
      </c>
      <c r="G23" s="254">
        <f>IF(B23="","",IFERROR(C23*E23,0))</f>
        <v>800.40000000000009</v>
      </c>
      <c r="H23" s="96">
        <f t="shared" si="6"/>
        <v>11.600000000000001</v>
      </c>
      <c r="J23" s="303"/>
    </row>
    <row r="24" spans="2:11">
      <c r="B24" s="84" t="str">
        <f>IF(Inputs!B37="","",Inputs!B37)</f>
        <v>Native Pasture - Replacement</v>
      </c>
      <c r="C24" s="245">
        <f>IFERROR(VLOOKUP(B24,FlockFeed,2,FALSE)*IF(VLOOKUP(B24,FlockFeed,4,FALSE)="per animal",Inputs!$F$3,1),0)+IFERROR(VLOOKUP(B24,RamsFeed,2,FALSE)*IF(VLOOKUP(B24,RamsFeed,4,FALSE)="per animal",Inputs!$F$10,1),0)+IFERROR(VLOOKUP(B24,FinishFeed,2,FALSE)*IF(VLOOKUP(B24,FinishFeed,4,FALSE)="per animal",('Finish Kids'!$C$10+'Finish Kids'!$C$11+'Finish Kids'!$C$4)/2,1),0)+IFERROR(VLOOKUP(B24,ReplacementFeed,2,FALSE)*IF(VLOOKUP(B24,ReplacementFeed,4,FALSE)="per animal",Inputs!$F$4+Inputs!$F$5,1),0)</f>
        <v>24</v>
      </c>
      <c r="D24" s="85" t="str">
        <f t="shared" si="2"/>
        <v>months  @</v>
      </c>
      <c r="E24" s="87" t="str">
        <f t="shared" si="3"/>
        <v/>
      </c>
      <c r="F24" s="121" t="str">
        <f t="shared" si="4"/>
        <v>per month</v>
      </c>
      <c r="G24" s="254">
        <f t="shared" si="5"/>
        <v>0</v>
      </c>
      <c r="H24" s="96">
        <f t="shared" si="6"/>
        <v>0</v>
      </c>
      <c r="J24" s="303"/>
    </row>
    <row r="25" spans="2:11">
      <c r="B25" s="84" t="str">
        <f>IF(Inputs!B38="","",Inputs!B38)</f>
        <v>Native Pasture - Finish</v>
      </c>
      <c r="C25" s="245">
        <f>IFERROR(VLOOKUP(B25,FlockFeed,2,FALSE)*IF(VLOOKUP(B25,FlockFeed,4,FALSE)="per animal",Inputs!$F$3,1),0)+IFERROR(VLOOKUP(B25,RamsFeed,2,FALSE)*IF(VLOOKUP(B25,RamsFeed,4,FALSE)="per animal",Inputs!$F$10,1),0)+IFERROR(VLOOKUP(B25,FinishFeed,2,FALSE)*IF(VLOOKUP(B25,FinishFeed,4,FALSE)="per animal",('Finish Kids'!$C$10+'Finish Kids'!$C$11+'Finish Kids'!$C$4)/2,1),0)+IFERROR(VLOOKUP(B25,ReplacementFeed,2,FALSE)*IF(VLOOKUP(B25,ReplacementFeed,4,FALSE)="per animal",Inputs!$F$4+Inputs!$F$5,1),0)</f>
        <v>276</v>
      </c>
      <c r="D25" s="85" t="str">
        <f t="shared" si="2"/>
        <v>months  @</v>
      </c>
      <c r="E25" s="87" t="str">
        <f t="shared" si="3"/>
        <v/>
      </c>
      <c r="F25" s="121" t="str">
        <f t="shared" si="4"/>
        <v>per month</v>
      </c>
      <c r="G25" s="254">
        <f t="shared" si="5"/>
        <v>0</v>
      </c>
      <c r="H25" s="96">
        <f t="shared" si="6"/>
        <v>0</v>
      </c>
      <c r="J25" s="303"/>
    </row>
    <row r="26" spans="2:11">
      <c r="B26" s="84" t="str">
        <f>IF(Inputs!B39="","",Inputs!B39)</f>
        <v>Native Pasture - Bucks</v>
      </c>
      <c r="C26" s="245">
        <f>IFERROR(VLOOKUP(B26,FlockFeed,2,FALSE)*IF(VLOOKUP(B26,FlockFeed,4,FALSE)="per animal",Inputs!$F$3,1),0)+IFERROR(VLOOKUP(B26,RamsFeed,2,FALSE)*IF(VLOOKUP(B26,RamsFeed,4,FALSE)="per animal",Inputs!$F$10,1),0)+IFERROR(VLOOKUP(B26,FinishFeed,2,FALSE)*IF(VLOOKUP(B26,FinishFeed,4,FALSE)="per animal",('Finish Kids'!$C$10+'Finish Kids'!$C$11+'Finish Kids'!$C$4)/2,1),0)+IFERROR(VLOOKUP(B26,ReplacementFeed,2,FALSE)*IF(VLOOKUP(B26,ReplacementFeed,4,FALSE)="per animal",Inputs!$F$4+Inputs!$F$5,1),0)</f>
        <v>8</v>
      </c>
      <c r="D26" s="85" t="str">
        <f t="shared" si="2"/>
        <v>months  @</v>
      </c>
      <c r="E26" s="87" t="str">
        <f t="shared" si="3"/>
        <v/>
      </c>
      <c r="F26" s="121" t="str">
        <f t="shared" si="4"/>
        <v>per month</v>
      </c>
      <c r="G26" s="254">
        <f>IF(B26="","",IFERROR(C26*E26,0))</f>
        <v>0</v>
      </c>
      <c r="H26" s="96">
        <f t="shared" si="6"/>
        <v>0</v>
      </c>
      <c r="J26" s="303"/>
    </row>
    <row r="27" spans="2:11" ht="13.5" thickBot="1">
      <c r="B27" s="84" t="str">
        <f>IF(Inputs!B40="","",Inputs!B40)</f>
        <v/>
      </c>
      <c r="C27" s="245">
        <f>IFERROR(VLOOKUP(B27,FlockFeed,2,FALSE)*IF(VLOOKUP(B27,FlockFeed,4,FALSE)="per animal",Inputs!$F$3,1),0)+IFERROR(VLOOKUP(B27,RamsFeed,2,FALSE)*IF(VLOOKUP(B27,RamsFeed,4,FALSE)="per animal",Inputs!$F$10,1),0)+IFERROR(VLOOKUP(B27,FinishFeed,2,FALSE)*IF(VLOOKUP(B27,FinishFeed,4,FALSE)="per animal",('Finish Kids'!$C$10+'Finish Kids'!$C$11+'Finish Kids'!$C$4)/2,1),0)+IFERROR(VLOOKUP(B27,ReplacementFeed,2,FALSE)*IF(VLOOKUP(B27,ReplacementFeed,4,FALSE)="per animal",Inputs!$F$10,1),0)</f>
        <v>0</v>
      </c>
      <c r="D27" s="85" t="str">
        <f t="shared" si="2"/>
        <v/>
      </c>
      <c r="E27" s="87" t="str">
        <f t="shared" si="3"/>
        <v/>
      </c>
      <c r="F27" s="121" t="str">
        <f t="shared" si="4"/>
        <v/>
      </c>
      <c r="G27" s="256" t="str">
        <f t="shared" ref="G27" si="7">IF(B27="","",C27*E27)</f>
        <v/>
      </c>
      <c r="H27" s="376" t="str">
        <f t="shared" si="6"/>
        <v/>
      </c>
      <c r="J27" s="303"/>
    </row>
    <row r="28" spans="2:11" ht="13.5" thickTop="1">
      <c r="B28" s="84"/>
      <c r="C28" s="66"/>
      <c r="D28" s="85"/>
      <c r="E28" s="108"/>
      <c r="F28" s="317" t="s">
        <v>42</v>
      </c>
      <c r="G28" s="357">
        <f>SUM(G18:G27)</f>
        <v>2145.0236000000004</v>
      </c>
      <c r="H28" s="247">
        <f>SUM(H18:H27)</f>
        <v>31.08729855072464</v>
      </c>
      <c r="J28" s="303"/>
      <c r="K28" s="351"/>
    </row>
    <row r="29" spans="2:11">
      <c r="B29" s="84"/>
      <c r="C29" s="66"/>
      <c r="D29" s="108"/>
      <c r="E29" s="85"/>
      <c r="F29" s="121"/>
      <c r="G29" s="355"/>
      <c r="H29" s="246"/>
    </row>
    <row r="30" spans="2:11">
      <c r="B30" s="118" t="s">
        <v>55</v>
      </c>
      <c r="C30" s="66"/>
      <c r="D30" s="129"/>
      <c r="E30" s="74"/>
      <c r="F30" s="122"/>
      <c r="G30" s="356" t="s">
        <v>37</v>
      </c>
      <c r="H30" s="359" t="s">
        <v>37</v>
      </c>
    </row>
    <row r="31" spans="2:11">
      <c r="B31" s="84" t="str">
        <f>IF(Inputs!B44="","",Inputs!B44)</f>
        <v>Labor</v>
      </c>
      <c r="C31" s="66"/>
      <c r="D31" s="120"/>
      <c r="E31" s="95"/>
      <c r="F31" s="156"/>
      <c r="G31" s="254">
        <f t="shared" ref="G31:G45" si="8">IF(B31="","",IFERROR(VLOOKUP(B31,FlockNonFeed,7,FALSE),0)+IFERROR(VLOOKUP(B31,RamsNonFeed,7,FALSE),0)+IFERROR(VLOOKUP(B31,FinishNonFeed,7,FALSE),0))</f>
        <v>500</v>
      </c>
      <c r="H31" s="96">
        <f t="shared" ref="H31:H46" si="9">IF($C$4+$C$5=0,0,IF(G31="","",G31/($C$4+$C$5)))</f>
        <v>7.2463768115942031</v>
      </c>
      <c r="J31" s="303"/>
      <c r="K31" s="303"/>
    </row>
    <row r="32" spans="2:11">
      <c r="B32" s="84" t="str">
        <f>IF(Inputs!B45="","",Inputs!B45)</f>
        <v>Fuel</v>
      </c>
      <c r="C32" s="66"/>
      <c r="D32" s="120"/>
      <c r="E32" s="95"/>
      <c r="F32" s="156"/>
      <c r="G32" s="254">
        <f t="shared" si="8"/>
        <v>300</v>
      </c>
      <c r="H32" s="96">
        <f t="shared" si="9"/>
        <v>4.3478260869565215</v>
      </c>
      <c r="J32" s="303"/>
      <c r="K32" s="303"/>
    </row>
    <row r="33" spans="2:11">
      <c r="B33" s="84" t="str">
        <f>IF(Inputs!B46="","",Inputs!B46)</f>
        <v>Vaccinations</v>
      </c>
      <c r="C33" s="66"/>
      <c r="D33" s="120"/>
      <c r="E33" s="95"/>
      <c r="F33" s="156"/>
      <c r="G33" s="254">
        <f t="shared" si="8"/>
        <v>150</v>
      </c>
      <c r="H33" s="96">
        <f t="shared" si="9"/>
        <v>2.1739130434782608</v>
      </c>
      <c r="J33" s="303"/>
      <c r="K33" s="303"/>
    </row>
    <row r="34" spans="2:11">
      <c r="B34" s="84" t="str">
        <f>IF(Inputs!B47="","",Inputs!B47)</f>
        <v>Weaned Kid Marketing</v>
      </c>
      <c r="C34" s="66"/>
      <c r="D34" s="120"/>
      <c r="E34" s="95"/>
      <c r="F34" s="156"/>
      <c r="G34" s="254">
        <f t="shared" si="8"/>
        <v>400</v>
      </c>
      <c r="H34" s="96">
        <f t="shared" si="9"/>
        <v>5.7971014492753623</v>
      </c>
      <c r="J34" s="303"/>
      <c r="K34" s="303"/>
    </row>
    <row r="35" spans="2:11">
      <c r="B35" s="84" t="str">
        <f>IF(Inputs!B48="","",Inputs!B48)</f>
        <v>Finished Kid Marketing</v>
      </c>
      <c r="C35" s="66"/>
      <c r="D35" s="120"/>
      <c r="E35" s="95"/>
      <c r="F35" s="156"/>
      <c r="G35" s="254">
        <f t="shared" si="8"/>
        <v>75</v>
      </c>
      <c r="H35" s="96">
        <f t="shared" si="9"/>
        <v>1.0869565217391304</v>
      </c>
      <c r="J35" s="303"/>
      <c r="K35" s="303"/>
    </row>
    <row r="36" spans="2:11">
      <c r="B36" s="84" t="str">
        <f>IF(Inputs!B49="","",Inputs!B49)</f>
        <v>Cull Doe Marketing</v>
      </c>
      <c r="C36" s="66"/>
      <c r="D36" s="120"/>
      <c r="E36" s="95"/>
      <c r="F36" s="156"/>
      <c r="G36" s="254">
        <f t="shared" si="8"/>
        <v>25</v>
      </c>
      <c r="H36" s="96">
        <f t="shared" si="9"/>
        <v>0.36231884057971014</v>
      </c>
      <c r="J36" s="303"/>
      <c r="K36" s="303"/>
    </row>
    <row r="37" spans="2:11">
      <c r="B37" s="84" t="str">
        <f>IF(Inputs!B50="","",Inputs!B50)</f>
        <v>Cull Buck Marketing</v>
      </c>
      <c r="C37" s="66"/>
      <c r="D37" s="120"/>
      <c r="E37" s="95"/>
      <c r="F37" s="156"/>
      <c r="G37" s="254">
        <f t="shared" si="8"/>
        <v>1.96</v>
      </c>
      <c r="H37" s="96">
        <f t="shared" si="9"/>
        <v>2.8405797101449276E-2</v>
      </c>
      <c r="J37" s="303"/>
      <c r="K37" s="303"/>
    </row>
    <row r="38" spans="2:11">
      <c r="B38" s="84" t="str">
        <f>IF(Inputs!B51="","",Inputs!B51)</f>
        <v>Supplies</v>
      </c>
      <c r="C38" s="66"/>
      <c r="D38" s="120"/>
      <c r="E38" s="95"/>
      <c r="F38" s="156"/>
      <c r="G38" s="254">
        <f t="shared" si="8"/>
        <v>100</v>
      </c>
      <c r="H38" s="96">
        <f t="shared" si="9"/>
        <v>1.4492753623188406</v>
      </c>
      <c r="J38" s="303"/>
      <c r="K38" s="303"/>
    </row>
    <row r="39" spans="2:11">
      <c r="B39" s="84" t="str">
        <f>IF(Inputs!B53="","",Inputs!B53)</f>
        <v/>
      </c>
      <c r="C39" s="66"/>
      <c r="D39" s="120"/>
      <c r="E39" s="95"/>
      <c r="F39" s="156"/>
      <c r="G39" s="254" t="str">
        <f t="shared" si="8"/>
        <v/>
      </c>
      <c r="H39" s="96" t="str">
        <f t="shared" si="9"/>
        <v/>
      </c>
      <c r="J39" s="303"/>
      <c r="K39" s="303"/>
    </row>
    <row r="40" spans="2:11">
      <c r="B40" s="84" t="str">
        <f>IF(Inputs!B54="","",Inputs!B54)</f>
        <v/>
      </c>
      <c r="C40" s="66"/>
      <c r="D40" s="120"/>
      <c r="E40" s="95"/>
      <c r="F40" s="156"/>
      <c r="G40" s="254" t="str">
        <f t="shared" si="8"/>
        <v/>
      </c>
      <c r="H40" s="96" t="str">
        <f t="shared" si="9"/>
        <v/>
      </c>
      <c r="J40" s="352"/>
      <c r="K40" s="303"/>
    </row>
    <row r="41" spans="2:11">
      <c r="B41" s="84" t="str">
        <f>IF(Inputs!B55="","",Inputs!B55)</f>
        <v/>
      </c>
      <c r="C41" s="66"/>
      <c r="D41" s="120"/>
      <c r="E41" s="95" t="s">
        <v>10</v>
      </c>
      <c r="F41" s="156"/>
      <c r="G41" s="254" t="str">
        <f t="shared" si="8"/>
        <v/>
      </c>
      <c r="H41" s="96" t="str">
        <f t="shared" si="9"/>
        <v/>
      </c>
      <c r="J41" s="303"/>
      <c r="K41" s="303"/>
    </row>
    <row r="42" spans="2:11">
      <c r="B42" s="84"/>
      <c r="C42" s="66"/>
      <c r="D42" s="120"/>
      <c r="E42" s="95"/>
      <c r="F42" s="156"/>
      <c r="G42" s="254" t="str">
        <f t="shared" si="8"/>
        <v/>
      </c>
      <c r="H42" s="96" t="str">
        <f t="shared" si="9"/>
        <v/>
      </c>
      <c r="J42" s="303"/>
      <c r="K42" s="303"/>
    </row>
    <row r="43" spans="2:11">
      <c r="B43" s="84"/>
      <c r="C43" s="66"/>
      <c r="D43" s="120"/>
      <c r="E43" s="95"/>
      <c r="F43" s="156"/>
      <c r="G43" s="254" t="str">
        <f t="shared" si="8"/>
        <v/>
      </c>
      <c r="H43" s="96" t="str">
        <f t="shared" si="9"/>
        <v/>
      </c>
      <c r="J43" s="303"/>
      <c r="K43" s="303"/>
    </row>
    <row r="44" spans="2:11">
      <c r="B44" s="84" t="str">
        <f>IF(Inputs!B56="","",Inputs!B56)</f>
        <v/>
      </c>
      <c r="C44" s="66"/>
      <c r="D44" s="120"/>
      <c r="E44" s="95" t="s">
        <v>10</v>
      </c>
      <c r="F44" s="156"/>
      <c r="G44" s="254" t="str">
        <f t="shared" si="8"/>
        <v/>
      </c>
      <c r="H44" s="96" t="str">
        <f t="shared" si="9"/>
        <v/>
      </c>
      <c r="J44" s="303"/>
      <c r="K44" s="303"/>
    </row>
    <row r="45" spans="2:11">
      <c r="B45" s="84" t="str">
        <f>IF(Inputs!B57="","",Inputs!B57)</f>
        <v/>
      </c>
      <c r="C45" s="66"/>
      <c r="D45" s="120"/>
      <c r="E45" s="95"/>
      <c r="F45" s="156"/>
      <c r="G45" s="254" t="str">
        <f t="shared" si="8"/>
        <v/>
      </c>
      <c r="H45" s="96" t="str">
        <f t="shared" si="9"/>
        <v/>
      </c>
      <c r="J45" s="303"/>
      <c r="K45" s="303"/>
    </row>
    <row r="46" spans="2:11" ht="13.5" thickBot="1">
      <c r="B46" s="84" t="s">
        <v>43</v>
      </c>
      <c r="C46" s="66"/>
      <c r="D46" s="85"/>
      <c r="E46" s="95"/>
      <c r="F46" s="156"/>
      <c r="G46" s="256">
        <f>IF(B46="","",IFERROR(VLOOKUP(B46,FlockNonFeed,7,FALSE),0)+IFERROR(VLOOKUP(B46,RamsNonFeed,7,FALSE),0)+IFERROR(VLOOKUP(B46,FinishNonFeed,7,FALSE),0))</f>
        <v>136.0872180547945</v>
      </c>
      <c r="H46" s="376">
        <f t="shared" si="9"/>
        <v>1.9722785225332538</v>
      </c>
      <c r="J46" s="303"/>
    </row>
    <row r="47" spans="2:11" ht="14.25" thickTop="1" thickBot="1">
      <c r="B47" s="88"/>
      <c r="C47" s="69"/>
      <c r="D47" s="89"/>
      <c r="E47" s="134"/>
      <c r="F47" s="319" t="s">
        <v>57</v>
      </c>
      <c r="G47" s="358">
        <f>SUM(G31:G46)</f>
        <v>1688.0472180547945</v>
      </c>
      <c r="H47" s="248">
        <f>SUM(H31:H46)</f>
        <v>24.464452435576732</v>
      </c>
      <c r="J47" s="303"/>
      <c r="K47" s="352"/>
    </row>
    <row r="48" spans="2:11" ht="16.5" thickBot="1">
      <c r="B48" s="106"/>
      <c r="C48" s="73"/>
      <c r="D48" s="73"/>
      <c r="E48" s="73"/>
      <c r="F48" s="57" t="s">
        <v>44</v>
      </c>
      <c r="G48" s="377">
        <f>G15+G28+G47</f>
        <v>5523.1208180547947</v>
      </c>
      <c r="H48" s="249">
        <f>H15+H28+H47</f>
        <v>80.045229247170937</v>
      </c>
      <c r="J48" s="303"/>
      <c r="K48" s="352"/>
    </row>
    <row r="49" spans="2:10" ht="13.5" thickBot="1">
      <c r="B49" s="102"/>
      <c r="C49" s="85"/>
      <c r="D49" s="85"/>
      <c r="E49" s="97"/>
      <c r="F49" s="97"/>
      <c r="G49" s="258"/>
      <c r="H49" s="250"/>
    </row>
    <row r="50" spans="2:10" ht="26.25" thickBot="1">
      <c r="B50" s="106" t="s">
        <v>165</v>
      </c>
      <c r="C50" s="178"/>
      <c r="D50" s="179"/>
      <c r="E50" s="179"/>
      <c r="F50" s="179"/>
      <c r="G50" s="259" t="s">
        <v>149</v>
      </c>
      <c r="H50" s="251" t="s">
        <v>147</v>
      </c>
    </row>
    <row r="51" spans="2:10">
      <c r="B51" s="82" t="s">
        <v>46</v>
      </c>
      <c r="C51" s="169"/>
      <c r="D51" s="83" t="s">
        <v>17</v>
      </c>
      <c r="E51" s="83"/>
      <c r="F51" s="83"/>
      <c r="G51" s="260" t="s">
        <v>37</v>
      </c>
      <c r="H51" s="252" t="s">
        <v>37</v>
      </c>
    </row>
    <row r="52" spans="2:10">
      <c r="B52" s="84" t="str">
        <f>IF(Inputs!B62="","",Inputs!B62)</f>
        <v>Farm Herd Housing</v>
      </c>
      <c r="C52" s="116"/>
      <c r="D52" s="94">
        <f t="shared" ref="D52:D60" si="10">IF($B52="","",(VLOOKUP($B52,Depreciable,5,FALSE)))</f>
        <v>150</v>
      </c>
      <c r="E52" s="94"/>
      <c r="F52" s="94"/>
      <c r="G52" s="254">
        <f t="shared" ref="G52:G60" si="11">SUM(C52:D52)</f>
        <v>150</v>
      </c>
      <c r="H52" s="96">
        <f t="shared" ref="H52:H60" si="12">IF($C$4+$C$5=0,0,IF(G52="","",G52/($C$4+$C$5)))</f>
        <v>2.1739130434782608</v>
      </c>
    </row>
    <row r="53" spans="2:10">
      <c r="B53" s="84" t="str">
        <f>IF(Inputs!B63="","",Inputs!B63)</f>
        <v>Finishing Housing</v>
      </c>
      <c r="C53" s="116"/>
      <c r="D53" s="94">
        <f t="shared" si="10"/>
        <v>200</v>
      </c>
      <c r="E53" s="94"/>
      <c r="F53" s="153"/>
      <c r="G53" s="353">
        <f t="shared" si="11"/>
        <v>200</v>
      </c>
      <c r="H53" s="96">
        <f t="shared" si="12"/>
        <v>2.8985507246376812</v>
      </c>
    </row>
    <row r="54" spans="2:10">
      <c r="B54" s="84" t="str">
        <f>IF(Inputs!B64="","",Inputs!B64)</f>
        <v>Farm Herd equipment</v>
      </c>
      <c r="C54" s="116"/>
      <c r="D54" s="94">
        <f t="shared" si="10"/>
        <v>50</v>
      </c>
      <c r="E54" s="94"/>
      <c r="F54" s="153"/>
      <c r="G54" s="353">
        <f t="shared" si="11"/>
        <v>50</v>
      </c>
      <c r="H54" s="96">
        <f t="shared" si="12"/>
        <v>0.72463768115942029</v>
      </c>
    </row>
    <row r="55" spans="2:10">
      <c r="B55" s="84" t="str">
        <f>IF(Inputs!B65="","",Inputs!B65)</f>
        <v>Finishing equipment</v>
      </c>
      <c r="C55" s="116"/>
      <c r="D55" s="94">
        <f t="shared" si="10"/>
        <v>75</v>
      </c>
      <c r="E55" s="94"/>
      <c r="F55" s="153"/>
      <c r="G55" s="353">
        <f t="shared" si="11"/>
        <v>75</v>
      </c>
      <c r="H55" s="96">
        <f t="shared" si="12"/>
        <v>1.0869565217391304</v>
      </c>
    </row>
    <row r="56" spans="2:10">
      <c r="B56" s="84" t="str">
        <f>IF(Inputs!B66="","",Inputs!B66)</f>
        <v/>
      </c>
      <c r="C56" s="116"/>
      <c r="D56" s="94" t="str">
        <f t="shared" si="10"/>
        <v/>
      </c>
      <c r="E56" s="94"/>
      <c r="F56" s="153"/>
      <c r="G56" s="353">
        <f t="shared" si="11"/>
        <v>0</v>
      </c>
      <c r="H56" s="96">
        <f t="shared" si="12"/>
        <v>0</v>
      </c>
    </row>
    <row r="57" spans="2:10">
      <c r="B57" s="84" t="str">
        <f>IF(Inputs!B67="","",Inputs!B67)</f>
        <v/>
      </c>
      <c r="C57" s="116"/>
      <c r="D57" s="94" t="str">
        <f t="shared" si="10"/>
        <v/>
      </c>
      <c r="E57" s="94"/>
      <c r="F57" s="153"/>
      <c r="G57" s="353">
        <f t="shared" si="11"/>
        <v>0</v>
      </c>
      <c r="H57" s="96">
        <f t="shared" si="12"/>
        <v>0</v>
      </c>
    </row>
    <row r="58" spans="2:10">
      <c r="B58" s="84" t="str">
        <f>IF(Inputs!B68="","",Inputs!B68)</f>
        <v/>
      </c>
      <c r="C58" s="116"/>
      <c r="D58" s="94" t="str">
        <f t="shared" si="10"/>
        <v/>
      </c>
      <c r="E58" s="94"/>
      <c r="F58" s="153"/>
      <c r="G58" s="353">
        <f t="shared" si="11"/>
        <v>0</v>
      </c>
      <c r="H58" s="96">
        <f t="shared" si="12"/>
        <v>0</v>
      </c>
    </row>
    <row r="59" spans="2:10">
      <c r="B59" s="84" t="str">
        <f>IF(Inputs!B69="","",Inputs!B69)</f>
        <v/>
      </c>
      <c r="C59" s="116"/>
      <c r="D59" s="94" t="str">
        <f t="shared" si="10"/>
        <v/>
      </c>
      <c r="E59" s="94"/>
      <c r="F59" s="153"/>
      <c r="G59" s="254">
        <f t="shared" si="11"/>
        <v>0</v>
      </c>
      <c r="H59" s="96">
        <f t="shared" si="12"/>
        <v>0</v>
      </c>
    </row>
    <row r="60" spans="2:10" ht="13.5" thickBot="1">
      <c r="B60" s="84" t="str">
        <f>IF(Inputs!B70="","",Inputs!B70)</f>
        <v/>
      </c>
      <c r="C60" s="116"/>
      <c r="D60" s="94" t="str">
        <f t="shared" si="10"/>
        <v/>
      </c>
      <c r="E60" s="94"/>
      <c r="F60" s="153"/>
      <c r="G60" s="256">
        <f t="shared" si="11"/>
        <v>0</v>
      </c>
      <c r="H60" s="376">
        <f t="shared" si="12"/>
        <v>0</v>
      </c>
    </row>
    <row r="61" spans="2:10" ht="13.5" thickTop="1">
      <c r="B61" s="84"/>
      <c r="C61" s="68"/>
      <c r="D61" s="95"/>
      <c r="E61" s="95"/>
      <c r="F61" s="360" t="s">
        <v>58</v>
      </c>
      <c r="G61" s="357">
        <f>SUM(G52:G60)</f>
        <v>475</v>
      </c>
      <c r="H61" s="247">
        <f>SUM(H52:H60)</f>
        <v>6.8840579710144922</v>
      </c>
      <c r="J61" s="303"/>
    </row>
    <row r="62" spans="2:10">
      <c r="B62" s="84"/>
      <c r="C62" s="66"/>
      <c r="D62" s="85"/>
      <c r="E62" s="85"/>
      <c r="F62" s="332"/>
      <c r="G62" s="361"/>
      <c r="H62" s="246"/>
    </row>
    <row r="63" spans="2:10">
      <c r="B63" s="92" t="s">
        <v>65</v>
      </c>
      <c r="C63" s="66"/>
      <c r="D63" s="129"/>
      <c r="E63" s="129"/>
      <c r="F63" s="121"/>
      <c r="G63" s="356" t="s">
        <v>37</v>
      </c>
      <c r="H63" s="359" t="s">
        <v>37</v>
      </c>
    </row>
    <row r="64" spans="2:10">
      <c r="B64" s="84" t="s">
        <v>23</v>
      </c>
      <c r="C64" s="66"/>
      <c r="D64" s="130"/>
      <c r="E64" s="130"/>
      <c r="F64" s="121"/>
      <c r="G64" s="254">
        <f>Inputs!D78*Inputs!F78</f>
        <v>180</v>
      </c>
      <c r="H64" s="96">
        <f t="shared" ref="H64:H68" si="13">IF($C$4+$C$5=0,0,IF(G64="","",G64/($C$4+$C$5)))</f>
        <v>2.6086956521739131</v>
      </c>
    </row>
    <row r="65" spans="2:11">
      <c r="B65" s="84" t="s">
        <v>47</v>
      </c>
      <c r="C65" s="66"/>
      <c r="D65" s="130"/>
      <c r="E65" s="130"/>
      <c r="F65" s="121"/>
      <c r="G65" s="254">
        <f>Inputs!D79*Inputs!F79</f>
        <v>300</v>
      </c>
      <c r="H65" s="96">
        <f t="shared" si="13"/>
        <v>4.3478260869565215</v>
      </c>
    </row>
    <row r="66" spans="2:11">
      <c r="B66" s="84" t="s">
        <v>26</v>
      </c>
      <c r="C66" s="66"/>
      <c r="D66" s="130"/>
      <c r="E66" s="130"/>
      <c r="F66" s="121"/>
      <c r="G66" s="254">
        <f>Inputs!D80*Inputs!F80</f>
        <v>240</v>
      </c>
      <c r="H66" s="96">
        <f t="shared" si="13"/>
        <v>3.4782608695652173</v>
      </c>
    </row>
    <row r="67" spans="2:11">
      <c r="B67" s="84" t="s">
        <v>48</v>
      </c>
      <c r="C67" s="66"/>
      <c r="D67" s="130"/>
      <c r="E67" s="130"/>
      <c r="F67" s="121"/>
      <c r="G67" s="254">
        <f>Inputs!D81*Inputs!F81</f>
        <v>120</v>
      </c>
      <c r="H67" s="96">
        <f t="shared" si="13"/>
        <v>1.7391304347826086</v>
      </c>
    </row>
    <row r="68" spans="2:11" ht="13.5" thickBot="1">
      <c r="B68" s="84" t="s">
        <v>28</v>
      </c>
      <c r="C68" s="66"/>
      <c r="D68" s="130"/>
      <c r="E68" s="130"/>
      <c r="F68" s="121"/>
      <c r="G68" s="256">
        <f>Inputs!D82*Inputs!F82</f>
        <v>60</v>
      </c>
      <c r="H68" s="376">
        <f t="shared" si="13"/>
        <v>0.86956521739130432</v>
      </c>
    </row>
    <row r="69" spans="2:11" ht="14.25" thickTop="1" thickBot="1">
      <c r="B69" s="105"/>
      <c r="C69" s="69"/>
      <c r="D69" s="89"/>
      <c r="E69" s="89"/>
      <c r="F69" s="319" t="s">
        <v>60</v>
      </c>
      <c r="G69" s="358">
        <f>SUM(G64:G68)</f>
        <v>900</v>
      </c>
      <c r="H69" s="253">
        <f>SUM(H64:H68)</f>
        <v>13.043478260869566</v>
      </c>
      <c r="J69" s="303"/>
    </row>
    <row r="70" spans="2:11" ht="16.5" thickBot="1">
      <c r="B70" s="106"/>
      <c r="C70" s="107"/>
      <c r="D70" s="107"/>
      <c r="E70" s="107"/>
      <c r="F70" s="57" t="s">
        <v>50</v>
      </c>
      <c r="G70" s="377">
        <f>G61+G69</f>
        <v>1375</v>
      </c>
      <c r="H70" s="249">
        <f>H61+H69</f>
        <v>19.927536231884059</v>
      </c>
      <c r="J70" s="303"/>
      <c r="K70" s="352"/>
    </row>
    <row r="71" spans="2:11" ht="16.5" thickBot="1">
      <c r="B71" s="106"/>
      <c r="C71" s="107"/>
      <c r="D71" s="107"/>
      <c r="E71" s="107"/>
      <c r="F71" s="57" t="s">
        <v>97</v>
      </c>
      <c r="G71" s="377">
        <f>G48+G70</f>
        <v>6898.1208180547947</v>
      </c>
      <c r="H71" s="249">
        <f>H48+H70</f>
        <v>99.972765479054999</v>
      </c>
    </row>
    <row r="72" spans="2:11" ht="16.5" thickBot="1">
      <c r="B72" s="106"/>
      <c r="C72" s="107"/>
      <c r="D72" s="107"/>
      <c r="E72" s="107"/>
      <c r="F72" s="57" t="s">
        <v>51</v>
      </c>
      <c r="G72" s="377">
        <f>G8-G71</f>
        <v>2264.3791819452053</v>
      </c>
      <c r="H72" s="249">
        <f>H8-H71</f>
        <v>32.817089593408753</v>
      </c>
    </row>
    <row r="73" spans="2:11" ht="13.5" thickBot="1">
      <c r="B73" s="79" t="s">
        <v>10</v>
      </c>
      <c r="C73" s="79"/>
      <c r="D73" s="79"/>
      <c r="E73" s="79"/>
      <c r="F73" s="79"/>
      <c r="G73" s="372"/>
      <c r="H73" s="372"/>
    </row>
    <row r="74" spans="2:11" ht="26.25" thickBot="1">
      <c r="B74" s="106" t="s">
        <v>45</v>
      </c>
      <c r="C74" s="178"/>
      <c r="D74" s="179"/>
      <c r="E74" s="179"/>
      <c r="F74" s="179"/>
      <c r="G74" s="259" t="s">
        <v>149</v>
      </c>
      <c r="H74" s="251" t="s">
        <v>147</v>
      </c>
    </row>
    <row r="75" spans="2:11" ht="25.5">
      <c r="B75" s="92"/>
      <c r="C75" s="368"/>
      <c r="D75" s="369" t="s">
        <v>70</v>
      </c>
      <c r="E75" s="369" t="s">
        <v>59</v>
      </c>
      <c r="F75" s="97"/>
      <c r="G75" s="356" t="s">
        <v>37</v>
      </c>
      <c r="H75" s="359" t="s">
        <v>37</v>
      </c>
    </row>
    <row r="76" spans="2:11">
      <c r="B76" s="84" t="s">
        <v>169</v>
      </c>
      <c r="C76" s="368"/>
      <c r="D76" s="369"/>
      <c r="E76" s="365">
        <f>Inputs!D77*Inputs!D74*Inputs!F77</f>
        <v>270</v>
      </c>
      <c r="F76" s="97"/>
      <c r="G76" s="254">
        <f t="shared" ref="G76:G85" si="14">SUM(D76:E76)</f>
        <v>270</v>
      </c>
      <c r="H76" s="96">
        <f t="shared" ref="H76:H85" si="15">IF($C$4+$C$5=0,0,IF(G76="","",G76/($C$4+$C$5)))</f>
        <v>3.9130434782608696</v>
      </c>
    </row>
    <row r="77" spans="2:11">
      <c r="B77" s="84" t="str">
        <f>B52</f>
        <v>Farm Herd Housing</v>
      </c>
      <c r="C77" s="116"/>
      <c r="D77" s="94">
        <f>IF(VLOOKUP($B77,Depreciable,4,FALSE)=0,0,IF($B77="","",(VLOOKUP($B77,Depreciable,2,FALSE)-VLOOKUP($B77,Depreciable,3,FALSE))/VLOOKUP($B77,Depreciable,4,FALSE)))</f>
        <v>200</v>
      </c>
      <c r="E77" s="94">
        <f>IF($B77="","",(VLOOKUP($B77,Depreciable,2,FALSE)*Inputs!$D$74))</f>
        <v>150</v>
      </c>
      <c r="F77" s="94"/>
      <c r="G77" s="254">
        <f t="shared" si="14"/>
        <v>350</v>
      </c>
      <c r="H77" s="96">
        <f t="shared" si="15"/>
        <v>5.0724637681159424</v>
      </c>
    </row>
    <row r="78" spans="2:11">
      <c r="B78" s="84" t="str">
        <f t="shared" ref="B78:B85" si="16">B53</f>
        <v>Finishing Housing</v>
      </c>
      <c r="C78" s="116"/>
      <c r="D78" s="94">
        <f>IF(VLOOKUP($B78,Depreciable,4,FALSE)=0,0,IF($B78="","",(VLOOKUP($B78,Depreciable,2,FALSE)-VLOOKUP($B78,Depreciable,3,FALSE))/VLOOKUP($B78,Depreciable,4,FALSE)))</f>
        <v>100</v>
      </c>
      <c r="E78" s="94">
        <f>IF($B78="","",(VLOOKUP($B78,Depreciable,2,FALSE)*Inputs!$D$74))</f>
        <v>90</v>
      </c>
      <c r="F78" s="153"/>
      <c r="G78" s="353">
        <f t="shared" si="14"/>
        <v>190</v>
      </c>
      <c r="H78" s="96">
        <f t="shared" si="15"/>
        <v>2.7536231884057969</v>
      </c>
    </row>
    <row r="79" spans="2:11">
      <c r="B79" s="84" t="str">
        <f t="shared" si="16"/>
        <v>Farm Herd equipment</v>
      </c>
      <c r="C79" s="116"/>
      <c r="D79" s="94">
        <f>IF(VLOOKUP($B79,Depreciable,4,FALSE)=0,0,IF($B79="","",(VLOOKUP($B79,Depreciable,2,FALSE)-VLOOKUP($B79,Depreciable,3,FALSE))/VLOOKUP($B79,Depreciable,4,FALSE)))</f>
        <v>20</v>
      </c>
      <c r="E79" s="94">
        <f>IF($B79="","",(VLOOKUP($B79,Depreciable,2,FALSE)*Inputs!$D$74))</f>
        <v>12</v>
      </c>
      <c r="F79" s="153"/>
      <c r="G79" s="353">
        <f t="shared" si="14"/>
        <v>32</v>
      </c>
      <c r="H79" s="96">
        <f t="shared" si="15"/>
        <v>0.46376811594202899</v>
      </c>
    </row>
    <row r="80" spans="2:11">
      <c r="B80" s="84" t="str">
        <f t="shared" si="16"/>
        <v>Finishing equipment</v>
      </c>
      <c r="C80" s="116"/>
      <c r="D80" s="94">
        <f>IF(VLOOKUP($B80,Depreciable,4,FALSE)=0,0,IF($B80="","",(VLOOKUP($B80,Depreciable,2,FALSE)-VLOOKUP($B80,Depreciable,3,FALSE))/VLOOKUP($B80,Depreciable,4,FALSE)))</f>
        <v>133.33333333333334</v>
      </c>
      <c r="E80" s="94">
        <f>IF($B80="","",(VLOOKUP($B80,Depreciable,2,FALSE)*Inputs!$D$74))</f>
        <v>24</v>
      </c>
      <c r="F80" s="153"/>
      <c r="G80" s="353">
        <f t="shared" si="14"/>
        <v>157.33333333333334</v>
      </c>
      <c r="H80" s="96">
        <f t="shared" si="15"/>
        <v>2.2801932367149762</v>
      </c>
    </row>
    <row r="81" spans="2:8">
      <c r="B81" s="84" t="str">
        <f t="shared" si="16"/>
        <v/>
      </c>
      <c r="C81" s="116"/>
      <c r="D81" s="94" t="str">
        <f t="shared" ref="D81:D85" si="17">IF($B81="","",(VLOOKUP($B81,Depreciable,2,FALSE)-VLOOKUP($B81,Depreciable,3,FALSE))/VLOOKUP($B81,Depreciable,4,FALSE))</f>
        <v/>
      </c>
      <c r="E81" s="94" t="str">
        <f>IF($B81="","",(VLOOKUP($B81,Depreciable,2,FALSE)*Inputs!$D$74))</f>
        <v/>
      </c>
      <c r="F81" s="153"/>
      <c r="G81" s="353">
        <f t="shared" si="14"/>
        <v>0</v>
      </c>
      <c r="H81" s="96">
        <f t="shared" si="15"/>
        <v>0</v>
      </c>
    </row>
    <row r="82" spans="2:8">
      <c r="B82" s="84" t="str">
        <f t="shared" si="16"/>
        <v/>
      </c>
      <c r="C82" s="116"/>
      <c r="D82" s="94" t="str">
        <f t="shared" si="17"/>
        <v/>
      </c>
      <c r="E82" s="94" t="str">
        <f>IF($B82="","",(VLOOKUP($B82,Depreciable,2,FALSE)*Inputs!$D$74))</f>
        <v/>
      </c>
      <c r="F82" s="153"/>
      <c r="G82" s="353">
        <f t="shared" si="14"/>
        <v>0</v>
      </c>
      <c r="H82" s="96">
        <f t="shared" si="15"/>
        <v>0</v>
      </c>
    </row>
    <row r="83" spans="2:8">
      <c r="B83" s="84" t="str">
        <f t="shared" si="16"/>
        <v/>
      </c>
      <c r="C83" s="116"/>
      <c r="D83" s="94" t="str">
        <f t="shared" si="17"/>
        <v/>
      </c>
      <c r="E83" s="94" t="str">
        <f>IF($B83="","",(VLOOKUP($B83,Depreciable,2,FALSE)*Inputs!$D$74))</f>
        <v/>
      </c>
      <c r="F83" s="153"/>
      <c r="G83" s="353">
        <f t="shared" si="14"/>
        <v>0</v>
      </c>
      <c r="H83" s="96">
        <f t="shared" si="15"/>
        <v>0</v>
      </c>
    </row>
    <row r="84" spans="2:8">
      <c r="B84" s="84" t="str">
        <f t="shared" si="16"/>
        <v/>
      </c>
      <c r="C84" s="116"/>
      <c r="D84" s="94" t="str">
        <f t="shared" si="17"/>
        <v/>
      </c>
      <c r="E84" s="94" t="str">
        <f>IF($B84="","",(VLOOKUP($B84,Depreciable,2,FALSE)*Inputs!$D$74))</f>
        <v/>
      </c>
      <c r="F84" s="153"/>
      <c r="G84" s="254">
        <f t="shared" si="14"/>
        <v>0</v>
      </c>
      <c r="H84" s="96">
        <f t="shared" si="15"/>
        <v>0</v>
      </c>
    </row>
    <row r="85" spans="2:8" ht="13.5" thickBot="1">
      <c r="B85" s="84" t="str">
        <f t="shared" si="16"/>
        <v/>
      </c>
      <c r="C85" s="116"/>
      <c r="D85" s="94" t="str">
        <f t="shared" si="17"/>
        <v/>
      </c>
      <c r="E85" s="94" t="str">
        <f>IF($B85="","",(VLOOKUP($B85,Depreciable,2,FALSE)*Inputs!$D$74))</f>
        <v/>
      </c>
      <c r="F85" s="153"/>
      <c r="G85" s="254">
        <f t="shared" si="14"/>
        <v>0</v>
      </c>
      <c r="H85" s="96">
        <f t="shared" si="15"/>
        <v>0</v>
      </c>
    </row>
    <row r="86" spans="2:8" ht="16.5" thickBot="1">
      <c r="B86" s="106"/>
      <c r="C86" s="107"/>
      <c r="D86" s="107"/>
      <c r="E86" s="107"/>
      <c r="F86" s="57" t="s">
        <v>50</v>
      </c>
      <c r="G86" s="257">
        <f>SUM(G76:G85)</f>
        <v>999.33333333333337</v>
      </c>
      <c r="H86" s="249">
        <f>SUM(H76:H85)</f>
        <v>14.483091787439616</v>
      </c>
    </row>
    <row r="87" spans="2:8" ht="16.5" thickBot="1">
      <c r="B87" s="106"/>
      <c r="C87" s="107"/>
      <c r="D87" s="107"/>
      <c r="E87" s="107"/>
      <c r="F87" s="57" t="s">
        <v>97</v>
      </c>
      <c r="G87" s="257">
        <f>G71+G86</f>
        <v>7897.4541513881277</v>
      </c>
      <c r="H87" s="249">
        <f>H71+H86</f>
        <v>114.45585726649462</v>
      </c>
    </row>
    <row r="88" spans="2:8" ht="16.5" thickBot="1">
      <c r="B88" s="106"/>
      <c r="C88" s="107"/>
      <c r="D88" s="107"/>
      <c r="E88" s="107"/>
      <c r="F88" s="57" t="s">
        <v>51</v>
      </c>
      <c r="G88" s="257">
        <f>G8-G87</f>
        <v>1265.0458486118723</v>
      </c>
      <c r="H88" s="249">
        <f>H8-H87</f>
        <v>18.333997805969133</v>
      </c>
    </row>
  </sheetData>
  <sheetProtection sheet="1" objects="1" scenarios="1"/>
  <mergeCells count="1">
    <mergeCell ref="C16:C17"/>
  </mergeCells>
  <printOptions horizontalCentered="1"/>
  <pageMargins left="0.25" right="0.25" top="0.75" bottom="0.75" header="0.3" footer="0.3"/>
  <pageSetup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vt:i4>
      </vt:variant>
    </vt:vector>
  </HeadingPairs>
  <TitlesOfParts>
    <vt:vector size="25" baseType="lpstr">
      <vt:lpstr>Title Page</vt:lpstr>
      <vt:lpstr>Inputs</vt:lpstr>
      <vt:lpstr>Bucks</vt:lpstr>
      <vt:lpstr>Replacement</vt:lpstr>
      <vt:lpstr>Herd</vt:lpstr>
      <vt:lpstr>Finish Kids</vt:lpstr>
      <vt:lpstr>Farm Herd to Finish</vt:lpstr>
      <vt:lpstr>Depreciable</vt:lpstr>
      <vt:lpstr>Feed</vt:lpstr>
      <vt:lpstr>FinishFeed</vt:lpstr>
      <vt:lpstr>FinishNonFeed</vt:lpstr>
      <vt:lpstr>FlockFeed</vt:lpstr>
      <vt:lpstr>FlockNonFeed</vt:lpstr>
      <vt:lpstr>NonFeed</vt:lpstr>
      <vt:lpstr>Overhead</vt:lpstr>
      <vt:lpstr>Bucks!Print_Area</vt:lpstr>
      <vt:lpstr>'Farm Herd to Finish'!Print_Area</vt:lpstr>
      <vt:lpstr>'Finish Kids'!Print_Area</vt:lpstr>
      <vt:lpstr>Herd!Print_Area</vt:lpstr>
      <vt:lpstr>Inputs!Print_Area</vt:lpstr>
      <vt:lpstr>Replacement!Print_Area</vt:lpstr>
      <vt:lpstr>'Title Page'!Print_Area</vt:lpstr>
      <vt:lpstr>RamsFeed</vt:lpstr>
      <vt:lpstr>RamsNonFeed</vt:lpstr>
      <vt:lpstr>ReplacementFeed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Kara Heideman</cp:lastModifiedBy>
  <cp:lastPrinted>2011-01-18T21:41:19Z</cp:lastPrinted>
  <dcterms:created xsi:type="dcterms:W3CDTF">2009-03-11T18:48:46Z</dcterms:created>
  <dcterms:modified xsi:type="dcterms:W3CDTF">2011-01-19T18:01:49Z</dcterms:modified>
</cp:coreProperties>
</file>